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lio Monzano\Desktop\"/>
    </mc:Choice>
  </mc:AlternateContent>
  <xr:revisionPtr revIDLastSave="0" documentId="8_{7F730EFC-DA77-4021-A13D-8BA5EE01B894}" xr6:coauthVersionLast="47" xr6:coauthVersionMax="47" xr10:uidLastSave="{00000000-0000-0000-0000-000000000000}"/>
  <bookViews>
    <workbookView xWindow="-120" yWindow="-120" windowWidth="29040" windowHeight="15720" tabRatio="771" xr2:uid="{22D7F4E0-F5A4-4862-B08C-DAF0038D537B}"/>
  </bookViews>
  <sheets>
    <sheet name="DADOS Local e Serviço" sheetId="1" r:id="rId1"/>
    <sheet name="Quadro RESUMO" sheetId="4" r:id="rId2"/>
    <sheet name="DMT-Auxiliar Operacional" sheetId="1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G40" i="1"/>
  <c r="D112" i="12"/>
  <c r="A147" i="12" l="1"/>
  <c r="C131" i="12"/>
  <c r="D114" i="12"/>
  <c r="D113" i="12"/>
  <c r="D101" i="12"/>
  <c r="D102" i="12" s="1"/>
  <c r="D107" i="12" s="1"/>
  <c r="D60" i="12"/>
  <c r="D59" i="12"/>
  <c r="D57" i="12"/>
  <c r="C53" i="12"/>
  <c r="D27" i="12"/>
  <c r="D26" i="12"/>
  <c r="D25" i="12"/>
  <c r="D24" i="12"/>
  <c r="D23" i="12"/>
  <c r="D18" i="12"/>
  <c r="D16" i="12"/>
  <c r="D15" i="12"/>
  <c r="D10" i="12"/>
  <c r="D9" i="12"/>
  <c r="A3" i="12"/>
  <c r="D115" i="12" l="1"/>
  <c r="D142" i="12" s="1"/>
  <c r="D29" i="12"/>
  <c r="D36" i="12" s="1"/>
  <c r="D52" i="12" l="1"/>
  <c r="D50" i="12"/>
  <c r="D35" i="12"/>
  <c r="D37" i="12" s="1"/>
  <c r="D38" i="12" s="1"/>
  <c r="D39" i="12" s="1"/>
  <c r="D67" i="12" s="1"/>
  <c r="D51" i="12"/>
  <c r="D45" i="12"/>
  <c r="D77" i="12"/>
  <c r="D78" i="12" s="1"/>
  <c r="D49" i="12"/>
  <c r="D94" i="12"/>
  <c r="D95" i="12" s="1"/>
  <c r="D138" i="12"/>
  <c r="D48" i="12"/>
  <c r="D47" i="12"/>
  <c r="D46" i="12"/>
  <c r="D96" i="12"/>
  <c r="D58" i="12"/>
  <c r="D61" i="12" s="1"/>
  <c r="D69" i="12" s="1"/>
  <c r="D79" i="12" l="1"/>
  <c r="D76" i="12"/>
  <c r="D74" i="12"/>
  <c r="D75" i="12" s="1"/>
  <c r="D84" i="12"/>
  <c r="D89" i="12" s="1"/>
  <c r="D53" i="12"/>
  <c r="D68" i="12" s="1"/>
  <c r="D70" i="12" s="1"/>
  <c r="D139" i="12" s="1"/>
  <c r="D80" i="12" l="1"/>
  <c r="D140" i="12" s="1"/>
  <c r="D92" i="12"/>
  <c r="D91" i="12"/>
  <c r="D90" i="12"/>
  <c r="D88" i="12"/>
  <c r="D93" i="12" l="1"/>
  <c r="D97" i="12" s="1"/>
  <c r="D106" i="12" s="1"/>
  <c r="D108" i="12" s="1"/>
  <c r="D141" i="12" s="1"/>
  <c r="D143" i="12" s="1"/>
  <c r="D120" i="12" s="1"/>
  <c r="D122" i="12" s="1"/>
  <c r="D127" i="12" l="1"/>
  <c r="D131" i="12"/>
  <c r="D128" i="12"/>
  <c r="D132" i="12" l="1"/>
  <c r="D144" i="12" s="1"/>
  <c r="D145" i="12" s="1"/>
  <c r="D146" i="12" l="1"/>
  <c r="D147" i="12" s="1"/>
  <c r="E7" i="4"/>
  <c r="G7" i="4" s="1"/>
  <c r="I7" i="4" s="1"/>
  <c r="J7" i="4" s="1"/>
  <c r="J8" i="4" l="1"/>
</calcChain>
</file>

<file path=xl/sharedStrings.xml><?xml version="1.0" encoding="utf-8"?>
<sst xmlns="http://schemas.openxmlformats.org/spreadsheetml/2006/main" count="291" uniqueCount="200">
  <si>
    <t>Salário base</t>
  </si>
  <si>
    <t>Assiduidade</t>
  </si>
  <si>
    <t>Remuneração</t>
  </si>
  <si>
    <t>Benefícios</t>
  </si>
  <si>
    <t>Alimentação</t>
  </si>
  <si>
    <t>Saúde</t>
  </si>
  <si>
    <t>Carga horária</t>
  </si>
  <si>
    <t>44h</t>
  </si>
  <si>
    <t>Insalubridade</t>
  </si>
  <si>
    <t>Faixa salarial</t>
  </si>
  <si>
    <t>Intrajornada</t>
  </si>
  <si>
    <t>Periculosidade</t>
  </si>
  <si>
    <t>Adicional noturno</t>
  </si>
  <si>
    <t>9ª</t>
  </si>
  <si>
    <t>CBO</t>
  </si>
  <si>
    <t>4110-05</t>
  </si>
  <si>
    <t>Campus Diamantino</t>
  </si>
  <si>
    <t>Alternativo</t>
  </si>
  <si>
    <t>ISS (%)</t>
  </si>
  <si>
    <t>SERVIÇOS TERCEIRIZADOS - DIVERSOS CARGOS</t>
  </si>
  <si>
    <t> DISCRIMINAÇÃO DOS SERVIÇOS (DADOS REFERENTES À CONTRATAÇÃO)</t>
  </si>
  <si>
    <t>A</t>
  </si>
  <si>
    <t>Data de apresentação da proposta (dia/mês/ano)</t>
  </si>
  <si>
    <t>B</t>
  </si>
  <si>
    <t>Unidade/Campus do IFMT</t>
  </si>
  <si>
    <t>C</t>
  </si>
  <si>
    <t>Município/UF</t>
  </si>
  <si>
    <t>D</t>
  </si>
  <si>
    <t>Ano Acordo, Convenção ou Sentença Normativa em Dissídio Coletivo</t>
  </si>
  <si>
    <t>E</t>
  </si>
  <si>
    <t>Nº de meses de execução contratual</t>
  </si>
  <si>
    <t>F</t>
  </si>
  <si>
    <t>Regime Tributário</t>
  </si>
  <si>
    <t>G</t>
  </si>
  <si>
    <t>Se optante pelo Simples Nacional, preencher o faturamento acumulado dos últimos 12 meses anteriores à proposta:</t>
  </si>
  <si>
    <t>Dados complementares para composição dos custos referente à mão-de-obra</t>
  </si>
  <si>
    <t>Classificação Brasileira de Ocupações (CBO)</t>
  </si>
  <si>
    <t>Salário Normativo da Categoria Profissional</t>
  </si>
  <si>
    <t>Data base da categoria (dia/mês/ano)</t>
  </si>
  <si>
    <t>Tipo de serviço</t>
  </si>
  <si>
    <t>MT000075/2024</t>
  </si>
  <si>
    <t>Diamantino/MT</t>
  </si>
  <si>
    <t>MÓDULO 1:   COMPOSIÇÃO DA REMUNERAÇÃO</t>
  </si>
  <si>
    <t>Composição da Remuneração</t>
  </si>
  <si>
    <t>Valor (R$)</t>
  </si>
  <si>
    <t>Salário Base</t>
  </si>
  <si>
    <t>H</t>
  </si>
  <si>
    <t>Outros - Gratificação por ASSIDUIDADE</t>
  </si>
  <si>
    <t>MÓDULO 2: ENCARGOS E BENEFÍCIOS ANUAIS, MENSAIS E DIÁRIOS</t>
  </si>
  <si>
    <t>SUBMÓDULO 2.1: 13º (décimo terceiro) Salário e Adicional de Férias</t>
  </si>
  <si>
    <t>2.1</t>
  </si>
  <si>
    <t>13º (décimo terceiro) Salário, Férias e Adicional de Férias</t>
  </si>
  <si>
    <t>CONTA VINCULADA</t>
  </si>
  <si>
    <t>SUBTOTAL (A+B)</t>
  </si>
  <si>
    <r>
      <t xml:space="preserve">Incidência do submódulo 2.2 no 13º e adicional de férias - </t>
    </r>
    <r>
      <rPr>
        <b/>
        <sz val="10"/>
        <color theme="1"/>
        <rFont val="Arial"/>
        <family val="2"/>
      </rPr>
      <t>(A+B) x% do submódulo 2.2</t>
    </r>
  </si>
  <si>
    <t>TOTAL DE 13º (DÉCIMO TERCEIRO) SALÁRIO E ADICIONAL DE FÉRIAS (A+B+C)</t>
  </si>
  <si>
    <r>
      <t xml:space="preserve">Nota 1: </t>
    </r>
    <r>
      <rPr>
        <i/>
        <sz val="10"/>
        <color theme="1"/>
        <rFont val="Arial"/>
        <family val="2"/>
      </rPr>
      <t>O Módulo 1 refere-se ao valor mensal devido ao empegado pela prestação do serviço no período de 12 meses.</t>
    </r>
  </si>
  <si>
    <r>
      <t>Nota 1:</t>
    </r>
    <r>
      <rPr>
        <i/>
        <sz val="10"/>
        <color theme="1"/>
        <rFont val="Arial"/>
        <family val="2"/>
      </rPr>
      <t xml:space="preserve"> Como a planilha de custos e formação de preços é calculada mensalmente, provisiona-se proporcionalmente 1/12 (um doze avos) dos valores referentes à gratificação natalina e adicional de férias.</t>
    </r>
  </si>
  <si>
    <r>
      <t>Nota 2:</t>
    </r>
    <r>
      <rPr>
        <i/>
        <sz val="10"/>
        <color theme="1"/>
        <rFont val="Arial"/>
        <family val="2"/>
      </rPr>
      <t xml:space="preserve"> O adicional de férias contido no Submódulo 2.1 corresponde a 1/3 (um terço) da remuneração que por sua vez é dividido por 12 (doze) conforme Nota 1 acima.</t>
    </r>
  </si>
  <si>
    <t>SUBMÓDULO 2.2: Encargos Previdenciários (GPS), Fundo de Garantia por Tempo de Serviço (FGTS) e outras contribuições.</t>
  </si>
  <si>
    <t>2.2</t>
  </si>
  <si>
    <t>GPS, FGTS e outras contribuições</t>
  </si>
  <si>
    <t>Percentual (%)</t>
  </si>
  <si>
    <t>INSS (Art. 22, Inciso I, da Lei nº 8.212/91)</t>
  </si>
  <si>
    <t>Salário Educação (Art. 3º, Inciso I, Decreto n.º 87.043/82)</t>
  </si>
  <si>
    <t>SAT (RAT X FAP)</t>
  </si>
  <si>
    <t>SESC ou SESI (Art. 3º, Lei n.º 8.036/90)</t>
  </si>
  <si>
    <t>SENAI - SENAC (Decreto n.º 2.318/86)</t>
  </si>
  <si>
    <t>SEBRAE (Art. 8º, Lei n.º 8.029/90 e Lei n.º 8.154/90)</t>
  </si>
  <si>
    <t>INCRA (Lei n.º 7.787/89 e DL n.º 1.146/70)</t>
  </si>
  <si>
    <t>FGTS (Art. 15, Lei nº 8.030/90 e Art. 7º, III, CF)</t>
  </si>
  <si>
    <t>TOTAL GPS, FGTS E OUTRAS CONTRIBUIÇÕES (A+B+C+D+E+F+G+H)</t>
  </si>
  <si>
    <t>SUBMÓDULO 2.3: Benefícios Mensais e Diários</t>
  </si>
  <si>
    <t>2.3</t>
  </si>
  <si>
    <t>Benefícios Mensais e Diários</t>
  </si>
  <si>
    <t>Seguro de Vida, Exames Ocupacionais, Tratamento Odontológicos Básicos Preventivos, PCMSO e PPRA</t>
  </si>
  <si>
    <t>Cesta Básica por Assiduidade</t>
  </si>
  <si>
    <t>Quadro-Resumo do Módulo 2 - Encargos e Benefícios anuais, mensais e diários</t>
  </si>
  <si>
    <t>Encargos e Benefícios Anuais, Mensais e Diários</t>
  </si>
  <si>
    <t>13º (décimo terceiro) Salário e Adicional de Férias</t>
  </si>
  <si>
    <t>TOTAL ENCARGOS BENEFÍCIOS ANUAIS, MENSAIS E DIÁRIOS</t>
  </si>
  <si>
    <t>MÓDULO 3: PROVISÃO PARA RESCISÃO</t>
  </si>
  <si>
    <t>Provisão para Rescisão</t>
  </si>
  <si>
    <t>TOTAL PROVISÃO PARA RESCISÃO</t>
  </si>
  <si>
    <t>MÓDULO 4: CUSTO DE REPOSIÇÃO DE PROFISSIONAL AUSENTE</t>
  </si>
  <si>
    <r>
      <t xml:space="preserve">Base de cálculo para o Custo de Reposição do Profissional Ausente (substituto): </t>
    </r>
    <r>
      <rPr>
        <sz val="10"/>
        <color theme="1"/>
        <rFont val="Arial"/>
        <family val="2"/>
      </rPr>
      <t>BCCPA = Rem + 13º + Férias + 1/3Férias (exceto para Afast Mat, que é a Remuneração) - Conforme Item 89 do Relatório do Acórdão TCU nº 1.753/2008 do Plenário e Orientações da SEGES/MPDG</t>
    </r>
  </si>
  <si>
    <t>SUBMÓDULO 4.1: Ausências legais</t>
  </si>
  <si>
    <t>4.1</t>
  </si>
  <si>
    <t>Ausências Legais</t>
  </si>
  <si>
    <t>I</t>
  </si>
  <si>
    <t>TOTAL AUSÊNCIAS LEGAIS (A+B+C+D+E+F)</t>
  </si>
  <si>
    <t>SUBMÓDULO 4.2: Intrajornada</t>
  </si>
  <si>
    <t>4.2</t>
  </si>
  <si>
    <t>Intervalo para repouso ou alimentação</t>
  </si>
  <si>
    <t>TOTAL INTRAJORNADA (A)</t>
  </si>
  <si>
    <t>Cesta básica</t>
  </si>
  <si>
    <t>Quadro-Resumo do Módulo 4 - Custo de Reposição do Profissional Ausente</t>
  </si>
  <si>
    <t>Ausências legais</t>
  </si>
  <si>
    <t>MÓDULO 5: INSUMOS DIVERSOS</t>
  </si>
  <si>
    <t>Insumos Diversos</t>
  </si>
  <si>
    <t>TOTAL DE INSUMOS DIVERSOS</t>
  </si>
  <si>
    <r>
      <t xml:space="preserve">Férias - </t>
    </r>
    <r>
      <rPr>
        <sz val="10"/>
        <color theme="0" tint="-0.499984740745262"/>
        <rFont val="Arial"/>
        <family val="2"/>
      </rPr>
      <t>(BCCPA x(1/12))</t>
    </r>
  </si>
  <si>
    <r>
      <t xml:space="preserve">Ausências legais - </t>
    </r>
    <r>
      <rPr>
        <sz val="10"/>
        <color theme="0" tint="-0.499984740745262"/>
        <rFont val="Arial"/>
        <family val="2"/>
      </rPr>
      <t>((BCCPA/30/12)x1 dia</t>
    </r>
  </si>
  <si>
    <r>
      <t>Licença paternidade -</t>
    </r>
    <r>
      <rPr>
        <sz val="10"/>
        <color theme="0" tint="-0.499984740745262"/>
        <rFont val="Arial"/>
        <family val="2"/>
      </rPr>
      <t xml:space="preserve"> ((BCCPA/30/12)x5 dias)x1,5%</t>
    </r>
  </si>
  <si>
    <r>
      <t xml:space="preserve">Ausências por acidente de trabalho - </t>
    </r>
    <r>
      <rPr>
        <sz val="10"/>
        <color theme="0" tint="-0.499984740745262"/>
        <rFont val="Arial"/>
        <family val="2"/>
      </rPr>
      <t>((BCCPA/30/12)x30 dias)x8%</t>
    </r>
  </si>
  <si>
    <r>
      <t>Outros – Ex. Ausência por doença -</t>
    </r>
    <r>
      <rPr>
        <sz val="10"/>
        <color theme="0" tint="-0.499984740745262"/>
        <rFont val="Arial"/>
        <family val="2"/>
      </rPr>
      <t xml:space="preserve"> (BCCPA/30/12)x5 diasx40%</t>
    </r>
  </si>
  <si>
    <r>
      <t>Incidência dos Encargos do Submódulo 2.2 sobre as ausências legais -</t>
    </r>
    <r>
      <rPr>
        <sz val="10"/>
        <color theme="0" tint="-0.499984740745262"/>
        <rFont val="Arial"/>
        <family val="2"/>
      </rPr>
      <t xml:space="preserve"> (A+B+C+D+E) x % do submódulo 2.2</t>
    </r>
  </si>
  <si>
    <r>
      <t xml:space="preserve">Afastamento Maternidade (Férias pagas ao substituto pelos 120 dias de reposição) - </t>
    </r>
    <r>
      <rPr>
        <sz val="10"/>
        <color theme="0" tint="-0.499984740745262"/>
        <rFont val="Arial"/>
        <family val="2"/>
      </rPr>
      <t>(((Remuneração+(Remuneração ÷ 3)) x (4/12)) ÷ 12) x 2%</t>
    </r>
  </si>
  <si>
    <r>
      <t xml:space="preserve">Incidência dos encargos do submódulo 2.2 sobre as férias pagas ao substituto pelos 120 dias de reposição - </t>
    </r>
    <r>
      <rPr>
        <sz val="10"/>
        <color theme="0" tint="-0.499984740745262"/>
        <rFont val="Arial"/>
        <family val="2"/>
      </rPr>
      <t>(férias pagas ao substituto pelos 120 dias de reposição) x % do submódulo 2.2</t>
    </r>
  </si>
  <si>
    <r>
      <t>Incidência do submódulo 2.2 sobre remuneração e 13º salário proporcionais aos 120 dias de reposição -</t>
    </r>
    <r>
      <rPr>
        <sz val="10"/>
        <color theme="0" tint="-0.499984740745262"/>
        <rFont val="Arial"/>
        <family val="2"/>
      </rPr>
      <t xml:space="preserve"> (((rem + (rem ÷ 12)) x (4÷12)) x 2%) x % do submódulo 2.2</t>
    </r>
  </si>
  <si>
    <t/>
  </si>
  <si>
    <r>
      <t>Adicional de periculosidade</t>
    </r>
    <r>
      <rPr>
        <sz val="10"/>
        <color theme="0" tint="-0.249977111117893"/>
        <rFont val="Arial"/>
        <family val="2"/>
      </rPr>
      <t xml:space="preserve"> - </t>
    </r>
    <r>
      <rPr>
        <sz val="10"/>
        <color theme="0" tint="-0.499984740745262"/>
        <rFont val="Arial"/>
        <family val="2"/>
      </rPr>
      <t>(30% do salário base)</t>
    </r>
  </si>
  <si>
    <r>
      <t xml:space="preserve">Adicional de insalubridade - </t>
    </r>
    <r>
      <rPr>
        <sz val="10"/>
        <color theme="0" tint="-0.499984740745262"/>
        <rFont val="Arial"/>
        <family val="2"/>
      </rPr>
      <t>(10%, 20%, 30% ou 40% do salário mínimo)</t>
    </r>
  </si>
  <si>
    <r>
      <t xml:space="preserve">Auxílio Transporte </t>
    </r>
    <r>
      <rPr>
        <b/>
        <sz val="10"/>
        <color theme="1"/>
        <rFont val="Arial"/>
        <family val="2"/>
      </rPr>
      <t>-</t>
    </r>
    <r>
      <rPr>
        <sz val="10"/>
        <rFont val="Arial"/>
        <family val="2"/>
      </rPr>
      <t xml:space="preserve"> Vale transporte</t>
    </r>
    <r>
      <rPr>
        <sz val="10"/>
        <color theme="0" tint="-0.499984740745262"/>
        <rFont val="Arial"/>
        <family val="2"/>
      </rPr>
      <t xml:space="preserve"> (((Valor de uma passagem) x 2 x Qtde dias trabalhados/mês) - (Salario Base x 6%))</t>
    </r>
    <r>
      <rPr>
        <sz val="10"/>
        <rFont val="Arial"/>
        <family val="2"/>
      </rPr>
      <t xml:space="preserve"> ou Transporte Alternativo</t>
    </r>
  </si>
  <si>
    <r>
      <t>Auxílio alimentação</t>
    </r>
    <r>
      <rPr>
        <sz val="10"/>
        <color theme="0" tint="-0.499984740745262"/>
        <rFont val="Arial"/>
        <family val="2"/>
      </rPr>
      <t xml:space="preserve"> (valor do vale alimentação x dias trabalhados - 20% de contribuição do funcionário)</t>
    </r>
  </si>
  <si>
    <r>
      <t>Aviso Prévio Indenizado -</t>
    </r>
    <r>
      <rPr>
        <sz val="10"/>
        <color theme="0" tint="-0.499984740745262"/>
        <rFont val="Arial"/>
        <family val="2"/>
      </rPr>
      <t xml:space="preserve"> (Remuneração/12 + 13ºsalário/12 + Férias/12 + (Férias/3)/12) x 1 mês x 5% de rotatividade anual</t>
    </r>
  </si>
  <si>
    <r>
      <t xml:space="preserve">Incidência do FGTS sobre o Aviso Prévio Indenizado - </t>
    </r>
    <r>
      <rPr>
        <sz val="10"/>
        <color theme="0" tint="-0.499984740745262"/>
        <rFont val="Arial"/>
        <family val="2"/>
      </rPr>
      <t>(Aviso Prévio Indenizado x % FGTS)</t>
    </r>
  </si>
  <si>
    <r>
      <t>Multa do FGTS sobre o Aviso Prévio Indenizado -</t>
    </r>
    <r>
      <rPr>
        <sz val="10"/>
        <color theme="0" tint="-0.499984740745262"/>
        <rFont val="Arial"/>
        <family val="2"/>
      </rPr>
      <t xml:space="preserve"> (Remuneração + 13ºsalário + Férias + (Férias/3)) x %FGTS x 40% multa x 5% de rotatividade anual</t>
    </r>
  </si>
  <si>
    <r>
      <t>Aviso Prévio Trabalhado -</t>
    </r>
    <r>
      <rPr>
        <sz val="10"/>
        <color theme="0" tint="-0.499984740745262"/>
        <rFont val="Arial"/>
        <family val="2"/>
      </rPr>
      <t xml:space="preserve"> (Remumeração/12meses)/30dias)x7dias) ou 1,9444% da remuneração</t>
    </r>
  </si>
  <si>
    <r>
      <t>Incidência dos encargos do submódulo 2.2 sobre o Aviso Prévio Trabalhado -</t>
    </r>
    <r>
      <rPr>
        <sz val="10"/>
        <rFont val="Arial"/>
        <family val="2"/>
      </rPr>
      <t xml:space="preserve"> </t>
    </r>
    <r>
      <rPr>
        <sz val="10"/>
        <color theme="0" tint="-0.499984740745262"/>
        <rFont val="Arial"/>
        <family val="2"/>
      </rPr>
      <t>(Aviso Prévio Trabalhado x % do Submódulo 2.2)</t>
    </r>
  </si>
  <si>
    <r>
      <t xml:space="preserve">Multa do FGTS sobre o Aviso Prévio Trabalhado - </t>
    </r>
    <r>
      <rPr>
        <sz val="10"/>
        <color theme="0" tint="-0.499984740745262"/>
        <rFont val="Arial"/>
        <family val="2"/>
      </rPr>
      <t xml:space="preserve"> (Remuneração + 13ºsalário + Férias + (Férias/3)) x %FGTS x 40% multa x 100% dos empregados</t>
    </r>
  </si>
  <si>
    <r>
      <t>13º (décimo terceiro) Salário -</t>
    </r>
    <r>
      <rPr>
        <sz val="10"/>
        <color theme="0" tint="-0.499984740745262"/>
        <rFont val="Arial"/>
        <family val="2"/>
      </rPr>
      <t xml:space="preserve"> (Remuneração x 8,33%)</t>
    </r>
  </si>
  <si>
    <r>
      <t xml:space="preserve">Adicional de Férias </t>
    </r>
    <r>
      <rPr>
        <sz val="10"/>
        <color theme="0" tint="-0.499984740745262"/>
        <rFont val="Arial"/>
        <family val="2"/>
      </rPr>
      <t>- (Remuneração x 0,0278)</t>
    </r>
  </si>
  <si>
    <t>MÓDULO 6: CUSTOS INDIRETOS, TRIBUTOS E LUCRO</t>
  </si>
  <si>
    <t>Custos Indiretos, Tributos e Lucro</t>
  </si>
  <si>
    <t>%</t>
  </si>
  <si>
    <t>Custos Indiretos</t>
  </si>
  <si>
    <t>BASE DE CÁLCULO DOS CUSTOS INDIRETOS = (Total do Módulo 1 – Composição da Remuneração + Total do Módulo 2 - Encargos e Benefícios Anuais, Mensais e Diários + Total do Módulo 3 – Provisão da Rescisão + Total do Módulo 4 - Custo de Reposição do Profissional Ausente + Total do Módulo 5 - Insumos Diversos)</t>
  </si>
  <si>
    <t>Lucro</t>
  </si>
  <si>
    <t>BASE DE CÁLCULO DO LUCRO = (Total do Módulo 1 – Composição da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</si>
  <si>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>Tributos</t>
  </si>
  <si>
    <t>BASE DE CÁLCULO DOS TRIBUTOS = (Total do Módulo 1 – Composição da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</si>
  <si>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C1. Tributos Federais</t>
  </si>
  <si>
    <t>C.1.1 PIS</t>
  </si>
  <si>
    <t>C.1.2 COFINS</t>
  </si>
  <si>
    <t>C.2  Tributos Estaduais</t>
  </si>
  <si>
    <t>C.3   Tributos Municipais</t>
  </si>
  <si>
    <t>C.3.1 - ISS</t>
  </si>
  <si>
    <t>TOTAL</t>
  </si>
  <si>
    <t>TabelaUnidade</t>
  </si>
  <si>
    <t>TabelaServiço</t>
  </si>
  <si>
    <t># índice coluna</t>
  </si>
  <si>
    <t xml:space="preserve">Transporte Alternativo </t>
  </si>
  <si>
    <t>Auxiliar Operacional Administrativo 44h</t>
  </si>
  <si>
    <t>Ano 2024</t>
  </si>
  <si>
    <r>
      <t>Outros - Gratificação por FUNÇÃO -</t>
    </r>
    <r>
      <rPr>
        <sz val="10"/>
        <rFont val="Arial"/>
        <family val="2"/>
      </rPr>
      <t xml:space="preserve"> </t>
    </r>
    <r>
      <rPr>
        <sz val="10"/>
        <color theme="0" tint="-0.499984740745262"/>
        <rFont val="Arial"/>
        <family val="2"/>
      </rPr>
      <t>(Percentual conforme CCT)</t>
    </r>
  </si>
  <si>
    <r>
      <t xml:space="preserve">TOTAL DA REMUNERAÇÃO </t>
    </r>
    <r>
      <rPr>
        <b/>
        <i/>
        <sz val="10"/>
        <color theme="1"/>
        <rFont val="Arial"/>
        <family val="2"/>
      </rPr>
      <t>(A+B+C+D+E+F)</t>
    </r>
  </si>
  <si>
    <t>2 -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</si>
  <si>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</si>
  <si>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</si>
  <si>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</si>
  <si>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</si>
  <si>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 – Provisão para rescisão</t>
  </si>
  <si>
    <t>Módulo 4 - Custo de Reposição do Profissional Ausente</t>
  </si>
  <si>
    <t>Módulo 5 – Insumos diversos</t>
  </si>
  <si>
    <t>Subtotal (A + B +C+ D+E)</t>
  </si>
  <si>
    <t>Módulo 6 – Custos indiretos, tributos e lucro</t>
  </si>
  <si>
    <t>Valor total por empregado</t>
  </si>
  <si>
    <t>VALOR TOTAL DO POSTO:</t>
  </si>
  <si>
    <t>Uniformes (pesquisa de mercado)</t>
  </si>
  <si>
    <r>
      <t>Nota 1:</t>
    </r>
    <r>
      <rPr>
        <i/>
        <sz val="10"/>
        <color theme="1"/>
        <rFont val="Arial"/>
        <family val="2"/>
      </rPr>
      <t xml:space="preserve"> O valor informado deverá ser o custo real do insumo (descontado o valor eventualmente pago pelo empregado).</t>
    </r>
  </si>
  <si>
    <r>
      <t>Nota 2:</t>
    </r>
    <r>
      <rPr>
        <i/>
        <sz val="10"/>
        <color theme="1"/>
        <rFont val="Arial"/>
        <family val="2"/>
      </rPr>
      <t xml:space="preserve"> Observar a previsão dos benefícios contidos em Acordos, Convenções e Dissídios Coletivos de Trabalho e atentar-se ao disposto no artigo 6º da Instrução Normativa SEGES/MPDG nº 05/2017.</t>
    </r>
  </si>
  <si>
    <r>
      <t>Nota 1:</t>
    </r>
    <r>
      <rPr>
        <i/>
        <sz val="10"/>
        <color theme="1"/>
        <rFont val="Arial"/>
        <family val="2"/>
      </rPr>
      <t xml:space="preserve"> Retira-se o valor correspondente ao PIS/COFINS (3,65%) nessa etapa da planilha, visto que será tributado no módulo CITL, evitando assim bitributação</t>
    </r>
  </si>
  <si>
    <r>
      <t>Nota 1:</t>
    </r>
    <r>
      <rPr>
        <i/>
        <sz val="10"/>
        <color theme="1"/>
        <rFont val="Arial"/>
        <family val="2"/>
      </rPr>
      <t xml:space="preserve"> Custos Indiretos, Lucro e Tributos por empregado.</t>
    </r>
  </si>
  <si>
    <r>
      <t>Nota 2:</t>
    </r>
    <r>
      <rPr>
        <i/>
        <sz val="10"/>
        <color theme="1"/>
        <rFont val="Arial"/>
        <family val="2"/>
      </rPr>
      <t xml:space="preserve"> O valor referente a tributos é obtido aplicando-se o percentual sobre o valor do faturamento.</t>
    </r>
  </si>
  <si>
    <t>Uniforme</t>
  </si>
  <si>
    <r>
      <t xml:space="preserve">Adicional noturno e hora noturna roduzida - </t>
    </r>
    <r>
      <rPr>
        <sz val="10"/>
        <color theme="0" tint="-0.499984740745262"/>
        <rFont val="Arial"/>
        <family val="2"/>
      </rPr>
      <t>(((((Sal. Base+Periculosidade ou insalubridade+gratificações/180)*20%))*qtd horas noturnas)*qtd dias)</t>
    </r>
  </si>
  <si>
    <t>Salário mínimo Brasil</t>
  </si>
  <si>
    <t>Manutenção</t>
  </si>
  <si>
    <t>[EMPRESA] Preencher</t>
  </si>
  <si>
    <t>[IFMT] Escolher local na lista</t>
  </si>
  <si>
    <t>[IFMT] Escolher serviço na lista</t>
  </si>
  <si>
    <t>[IFMT] Inserir manuamente</t>
  </si>
  <si>
    <t>[IFMT] inserir manualmente</t>
  </si>
  <si>
    <r>
      <t xml:space="preserve">Transporte 
</t>
    </r>
    <r>
      <rPr>
        <sz val="8"/>
        <rFont val="Calibri"/>
        <family val="2"/>
        <scheme val="minor"/>
      </rPr>
      <t>(Valor do VT OU Alternativo)</t>
    </r>
  </si>
  <si>
    <r>
      <t xml:space="preserve">Serviço
</t>
    </r>
    <r>
      <rPr>
        <sz val="11"/>
        <rFont val="Calibri"/>
        <family val="2"/>
        <scheme val="minor"/>
      </rPr>
      <t>(nomenclatura de acordo com CCT)</t>
    </r>
  </si>
  <si>
    <r>
      <t xml:space="preserve">Dias trabalhados
</t>
    </r>
    <r>
      <rPr>
        <sz val="11"/>
        <rFont val="Calibri"/>
        <family val="2"/>
        <scheme val="minor"/>
      </rPr>
      <t>(mês - transporte)</t>
    </r>
  </si>
  <si>
    <r>
      <t xml:space="preserve">Dias trabalhados
</t>
    </r>
    <r>
      <rPr>
        <sz val="11"/>
        <rFont val="Calibri"/>
        <family val="2"/>
        <scheme val="minor"/>
      </rPr>
      <t>(mês - alimentação)</t>
    </r>
  </si>
  <si>
    <t>Quantidade de postos</t>
  </si>
  <si>
    <t>VALOR TOTAL DA LICITAÇÃO / CONTRATAÇÃO</t>
  </si>
  <si>
    <t>Nº ITEM</t>
  </si>
  <si>
    <r>
      <t xml:space="preserve">Insumos diversos </t>
    </r>
    <r>
      <rPr>
        <sz val="8"/>
        <rFont val="Calibri"/>
        <family val="2"/>
        <scheme val="minor"/>
      </rPr>
      <t>(total mensal)</t>
    </r>
  </si>
  <si>
    <t>Quantidade de postos a contratar</t>
  </si>
  <si>
    <t>[IFMT] Preencher</t>
  </si>
  <si>
    <t>Categoria Profissional (vinculada à execução contratual)</t>
  </si>
  <si>
    <t>TOTAL BENEFÍCIOS MENSAIS E DIÁRIOS (A+B+C+D)</t>
  </si>
  <si>
    <r>
      <t>Nota 1:</t>
    </r>
    <r>
      <rPr>
        <i/>
        <sz val="10"/>
        <color theme="1"/>
        <rFont val="Arial"/>
        <family val="2"/>
      </rPr>
      <t xml:space="preserve"> Os itens que contemplam o módulo 4 se referem ao custo dos dias trabalhados pelo repositor/substituto, quando o empregado alocado na prestação de serviço estiver ausente, conforme as previsões estabelecidas na legislação.</t>
    </r>
  </si>
  <si>
    <t>Valor mensal
por empregado</t>
  </si>
  <si>
    <t>Valor mensal
por posto</t>
  </si>
  <si>
    <t>Valor Mensal
Total</t>
  </si>
  <si>
    <t>Quantidade de empregados por posto</t>
  </si>
  <si>
    <t>SERVIÇOS TERCEIRIZADOS DIVERSOS</t>
  </si>
  <si>
    <t xml:space="preserve"> Atualizado em 11/07/2024. Dados da Planilha "[DADM] ISSQN e Vale Transporte".</t>
  </si>
  <si>
    <t xml:space="preserve"> Atualizado em 11/07/2024. CCT MT000075/2024.</t>
  </si>
  <si>
    <t>Material</t>
  </si>
  <si>
    <t>Equipamentos</t>
  </si>
  <si>
    <t xml:space="preserve">Materiais </t>
  </si>
  <si>
    <t>Equipamentos /Outros</t>
  </si>
  <si>
    <t>Número do processo: 23750.000018.2025-91</t>
  </si>
  <si>
    <t>Valor por 06(seis)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</si>
</sst>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0.000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rgb="FF434343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28"/>
      <color rgb="FF666666"/>
      <name val="PT Sans Narrow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  <font>
      <sz val="10"/>
      <color theme="0" tint="-0.249977111117893"/>
      <name val="Arial"/>
      <family val="2"/>
    </font>
    <font>
      <sz val="8"/>
      <color theme="0" tint="-0.499984740745262"/>
      <name val="Calibri"/>
      <family val="2"/>
      <scheme val="minor"/>
    </font>
    <font>
      <b/>
      <sz val="10"/>
      <color rgb="FFF3F3F3"/>
      <name val="Arial Black"/>
      <family val="2"/>
    </font>
    <font>
      <sz val="11"/>
      <color theme="4"/>
      <name val="Calibri"/>
      <family val="2"/>
      <scheme val="minor"/>
    </font>
    <font>
      <sz val="10"/>
      <color rgb="FF00B050"/>
      <name val="Arial"/>
      <family val="2"/>
    </font>
    <font>
      <sz val="8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1C458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FC5E8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theme="6"/>
      </patternFill>
    </fill>
    <fill>
      <patternFill patternType="solid">
        <fgColor theme="0" tint="-0.249977111117893"/>
        <bgColor theme="6" tint="0.79998168889431442"/>
      </patternFill>
    </fill>
    <fill>
      <patternFill patternType="solid">
        <fgColor theme="0" tint="-0.14999847407452621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4" fillId="8" borderId="0" applyNumberFormat="0" applyBorder="0" applyAlignment="0" applyProtection="0"/>
    <xf numFmtId="0" fontId="15" fillId="9" borderId="0" applyNumberFormat="0" applyBorder="0" applyAlignment="0" applyProtection="0"/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11" borderId="0" xfId="0" applyFont="1" applyFill="1" applyAlignment="1">
      <alignment vertical="center" wrapText="1"/>
    </xf>
    <xf numFmtId="0" fontId="10" fillId="6" borderId="2" xfId="0" applyFont="1" applyFill="1" applyBorder="1" applyAlignment="1">
      <alignment horizontal="center" wrapText="1"/>
    </xf>
    <xf numFmtId="0" fontId="10" fillId="6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8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6" borderId="2" xfId="0" applyFont="1" applyFill="1" applyBorder="1" applyAlignment="1">
      <alignment vertical="center" wrapText="1"/>
    </xf>
    <xf numFmtId="10" fontId="10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wrapText="1"/>
    </xf>
    <xf numFmtId="44" fontId="10" fillId="6" borderId="2" xfId="0" applyNumberFormat="1" applyFont="1" applyFill="1" applyBorder="1" applyAlignment="1">
      <alignment horizontal="center" vertical="center" wrapText="1"/>
    </xf>
    <xf numFmtId="44" fontId="0" fillId="0" borderId="0" xfId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 vertical="center"/>
    </xf>
    <xf numFmtId="0" fontId="0" fillId="0" borderId="7" xfId="0" applyBorder="1" applyAlignment="1">
      <alignment vertical="center"/>
    </xf>
    <xf numFmtId="2" fontId="0" fillId="0" borderId="8" xfId="0" applyNumberFormat="1" applyBorder="1" applyAlignment="1">
      <alignment horizontal="right"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3" fillId="12" borderId="4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 wrapText="1"/>
    </xf>
    <xf numFmtId="44" fontId="4" fillId="14" borderId="11" xfId="1" applyFont="1" applyFill="1" applyBorder="1" applyAlignment="1">
      <alignment vertical="center"/>
    </xf>
    <xf numFmtId="44" fontId="0" fillId="15" borderId="7" xfId="1" applyFont="1" applyFill="1" applyBorder="1" applyAlignment="1">
      <alignment vertical="center"/>
    </xf>
    <xf numFmtId="44" fontId="0" fillId="15" borderId="4" xfId="1" applyFont="1" applyFill="1" applyBorder="1" applyAlignment="1">
      <alignment horizontal="center" vertical="center"/>
    </xf>
    <xf numFmtId="0" fontId="4" fillId="14" borderId="10" xfId="1" applyNumberFormat="1" applyFont="1" applyFill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 wrapText="1"/>
    </xf>
    <xf numFmtId="0" fontId="10" fillId="1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44" fontId="10" fillId="6" borderId="2" xfId="1" applyFont="1" applyFill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44" fontId="10" fillId="0" borderId="2" xfId="1" applyFont="1" applyBorder="1" applyAlignment="1">
      <alignment horizontal="center" vertical="center" wrapText="1"/>
    </xf>
    <xf numFmtId="44" fontId="10" fillId="17" borderId="2" xfId="1" applyFont="1" applyFill="1" applyBorder="1" applyAlignment="1">
      <alignment horizontal="center" vertical="center" wrapText="1"/>
    </xf>
    <xf numFmtId="44" fontId="20" fillId="3" borderId="2" xfId="1" applyFont="1" applyFill="1" applyBorder="1" applyAlignment="1">
      <alignment horizontal="center" vertical="center" wrapText="1"/>
    </xf>
    <xf numFmtId="44" fontId="10" fillId="11" borderId="1" xfId="1" applyFont="1" applyFill="1" applyBorder="1" applyAlignment="1">
      <alignment horizontal="center" vertical="center" wrapText="1"/>
    </xf>
    <xf numFmtId="44" fontId="10" fillId="2" borderId="2" xfId="1" applyFont="1" applyFill="1" applyBorder="1" applyAlignment="1">
      <alignment horizontal="center" vertical="center" wrapText="1"/>
    </xf>
    <xf numFmtId="44" fontId="8" fillId="10" borderId="2" xfId="1" applyFont="1" applyFill="1" applyBorder="1" applyAlignment="1">
      <alignment horizontal="center" vertical="center" wrapText="1"/>
    </xf>
    <xf numFmtId="44" fontId="8" fillId="0" borderId="2" xfId="1" applyFont="1" applyBorder="1" applyAlignment="1">
      <alignment horizontal="center" vertical="center" wrapText="1"/>
    </xf>
    <xf numFmtId="44" fontId="5" fillId="0" borderId="2" xfId="1" applyFont="1" applyBorder="1" applyAlignment="1">
      <alignment vertical="center" wrapText="1"/>
    </xf>
    <xf numFmtId="0" fontId="21" fillId="0" borderId="0" xfId="0" applyFont="1" applyAlignment="1">
      <alignment vertical="center"/>
    </xf>
    <xf numFmtId="10" fontId="15" fillId="9" borderId="2" xfId="3" applyNumberFormat="1" applyBorder="1" applyAlignment="1">
      <alignment horizontal="center" vertical="center" wrapText="1"/>
    </xf>
    <xf numFmtId="0" fontId="0" fillId="11" borderId="0" xfId="0" applyFill="1" applyAlignment="1">
      <alignment horizontal="left" vertical="center" wrapText="1"/>
    </xf>
    <xf numFmtId="0" fontId="0" fillId="11" borderId="0" xfId="0" applyFill="1" applyAlignment="1">
      <alignment vertical="center" wrapText="1"/>
    </xf>
    <xf numFmtId="0" fontId="5" fillId="11" borderId="0" xfId="0" applyFont="1" applyFill="1" applyAlignment="1">
      <alignment horizontal="left" vertical="center" wrapText="1"/>
    </xf>
    <xf numFmtId="14" fontId="15" fillId="9" borderId="2" xfId="3" applyNumberFormat="1" applyBorder="1" applyAlignment="1">
      <alignment horizontal="center" vertical="center" wrapText="1"/>
    </xf>
    <xf numFmtId="0" fontId="13" fillId="8" borderId="2" xfId="2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8" fontId="5" fillId="11" borderId="0" xfId="0" applyNumberFormat="1" applyFont="1" applyFill="1" applyAlignment="1">
      <alignment horizontal="left" vertical="center" wrapText="1"/>
    </xf>
    <xf numFmtId="8" fontId="12" fillId="11" borderId="0" xfId="0" applyNumberFormat="1" applyFont="1" applyFill="1" applyAlignment="1">
      <alignment horizontal="left" vertical="center" wrapText="1"/>
    </xf>
    <xf numFmtId="0" fontId="12" fillId="11" borderId="0" xfId="0" applyFont="1" applyFill="1" applyAlignment="1">
      <alignment horizontal="left" vertical="center" wrapText="1"/>
    </xf>
    <xf numFmtId="0" fontId="12" fillId="11" borderId="0" xfId="0" applyFont="1" applyFill="1" applyAlignment="1">
      <alignment vertical="center" wrapText="1"/>
    </xf>
    <xf numFmtId="44" fontId="5" fillId="11" borderId="0" xfId="0" applyNumberFormat="1" applyFont="1" applyFill="1" applyAlignment="1">
      <alignment horizontal="left" vertical="center" wrapText="1"/>
    </xf>
    <xf numFmtId="0" fontId="5" fillId="11" borderId="0" xfId="0" quotePrefix="1" applyFont="1" applyFill="1" applyAlignment="1">
      <alignment vertical="center" wrapText="1"/>
    </xf>
    <xf numFmtId="0" fontId="7" fillId="11" borderId="0" xfId="0" applyFont="1" applyFill="1" applyAlignment="1">
      <alignment horizontal="left" vertical="center" wrapText="1"/>
    </xf>
    <xf numFmtId="44" fontId="5" fillId="0" borderId="2" xfId="1" applyFont="1" applyFill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49" fontId="15" fillId="9" borderId="2" xfId="3" applyNumberFormat="1" applyBorder="1" applyAlignment="1">
      <alignment horizontal="center" vertical="center" wrapText="1"/>
    </xf>
    <xf numFmtId="0" fontId="15" fillId="9" borderId="2" xfId="3" applyNumberFormat="1" applyBorder="1" applyAlignment="1">
      <alignment horizontal="center" vertical="center" wrapText="1"/>
    </xf>
    <xf numFmtId="0" fontId="13" fillId="18" borderId="12" xfId="0" applyFont="1" applyFill="1" applyBorder="1" applyAlignment="1">
      <alignment horizontal="center" vertical="center" wrapText="1"/>
    </xf>
    <xf numFmtId="0" fontId="13" fillId="18" borderId="13" xfId="0" applyFont="1" applyFill="1" applyBorder="1" applyAlignment="1">
      <alignment horizontal="center" vertical="center" wrapText="1"/>
    </xf>
    <xf numFmtId="0" fontId="13" fillId="18" borderId="14" xfId="0" applyFont="1" applyFill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/>
    </xf>
    <xf numFmtId="0" fontId="13" fillId="18" borderId="18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right" vertical="center"/>
    </xf>
    <xf numFmtId="0" fontId="22" fillId="11" borderId="0" xfId="0" applyFont="1" applyFill="1" applyAlignment="1">
      <alignment horizontal="left" vertical="center"/>
    </xf>
    <xf numFmtId="0" fontId="13" fillId="12" borderId="15" xfId="0" applyFont="1" applyFill="1" applyBorder="1" applyAlignment="1">
      <alignment horizontal="center" vertical="center" wrapText="1"/>
    </xf>
    <xf numFmtId="0" fontId="13" fillId="12" borderId="16" xfId="0" applyFont="1" applyFill="1" applyBorder="1" applyAlignment="1">
      <alignment horizontal="center" vertical="center" wrapText="1"/>
    </xf>
    <xf numFmtId="0" fontId="13" fillId="12" borderId="23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164" fontId="15" fillId="9" borderId="2" xfId="3" applyNumberForma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4" fillId="0" borderId="20" xfId="0" applyNumberFormat="1" applyFont="1" applyBorder="1" applyAlignment="1">
      <alignment horizontal="center" vertical="center"/>
    </xf>
    <xf numFmtId="0" fontId="13" fillId="19" borderId="2" xfId="2" applyFont="1" applyFill="1" applyBorder="1" applyAlignment="1">
      <alignment horizontal="center" vertical="center" wrapText="1"/>
    </xf>
    <xf numFmtId="1" fontId="4" fillId="19" borderId="2" xfId="3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0" fillId="20" borderId="27" xfId="0" applyFill="1" applyBorder="1" applyAlignment="1">
      <alignment horizontal="center" vertical="center"/>
    </xf>
    <xf numFmtId="0" fontId="4" fillId="20" borderId="27" xfId="2" applyFont="1" applyFill="1" applyBorder="1" applyAlignment="1">
      <alignment horizontal="center" vertical="center" wrapText="1"/>
    </xf>
    <xf numFmtId="0" fontId="4" fillId="20" borderId="28" xfId="2" applyFont="1" applyFill="1" applyBorder="1" applyAlignment="1">
      <alignment horizontal="center" vertical="center" wrapText="1"/>
    </xf>
    <xf numFmtId="44" fontId="0" fillId="20" borderId="27" xfId="0" applyNumberFormat="1" applyFill="1" applyBorder="1" applyAlignment="1">
      <alignment vertical="center"/>
    </xf>
    <xf numFmtId="44" fontId="0" fillId="20" borderId="26" xfId="0" applyNumberFormat="1" applyFill="1" applyBorder="1" applyAlignment="1">
      <alignment vertical="center"/>
    </xf>
    <xf numFmtId="0" fontId="0" fillId="20" borderId="28" xfId="0" applyFill="1" applyBorder="1" applyAlignment="1">
      <alignment horizontal="center" vertical="center"/>
    </xf>
    <xf numFmtId="44" fontId="0" fillId="20" borderId="28" xfId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16" borderId="0" xfId="0" applyFill="1" applyAlignment="1">
      <alignment horizontal="center" vertical="center"/>
    </xf>
    <xf numFmtId="14" fontId="0" fillId="16" borderId="0" xfId="0" applyNumberFormat="1" applyFill="1" applyAlignment="1">
      <alignment horizontal="center" vertical="center"/>
    </xf>
    <xf numFmtId="0" fontId="13" fillId="13" borderId="15" xfId="0" applyFont="1" applyFill="1" applyBorder="1" applyAlignment="1">
      <alignment horizontal="center" vertical="center" wrapText="1"/>
    </xf>
    <xf numFmtId="0" fontId="13" fillId="13" borderId="16" xfId="0" applyFont="1" applyFill="1" applyBorder="1" applyAlignment="1">
      <alignment horizontal="center" vertical="center" wrapText="1"/>
    </xf>
    <xf numFmtId="0" fontId="13" fillId="13" borderId="1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4" borderId="0" xfId="0" applyFont="1" applyFill="1" applyAlignment="1">
      <alignment horizontal="left" vertical="center" wrapText="1"/>
    </xf>
    <xf numFmtId="0" fontId="13" fillId="12" borderId="8" xfId="0" applyFont="1" applyFill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0" fillId="6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vertical="center" wrapText="1"/>
    </xf>
    <xf numFmtId="0" fontId="10" fillId="5" borderId="2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1" fillId="11" borderId="0" xfId="0" applyFont="1" applyFill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11" borderId="0" xfId="0" applyFont="1" applyFill="1" applyAlignment="1">
      <alignment horizontal="left" wrapText="1"/>
    </xf>
    <xf numFmtId="0" fontId="10" fillId="5" borderId="0" xfId="0" applyFont="1" applyFill="1" applyAlignment="1">
      <alignment horizontal="center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10" fillId="7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10" fillId="17" borderId="2" xfId="0" applyFont="1" applyFill="1" applyBorder="1" applyAlignment="1">
      <alignment horizontal="right" vertical="center" wrapText="1"/>
    </xf>
    <xf numFmtId="0" fontId="20" fillId="3" borderId="8" xfId="0" applyFont="1" applyFill="1" applyBorder="1" applyAlignment="1">
      <alignment horizontal="right" vertical="center" wrapText="1"/>
    </xf>
    <xf numFmtId="0" fontId="20" fillId="3" borderId="11" xfId="0" applyFont="1" applyFill="1" applyBorder="1" applyAlignment="1">
      <alignment horizontal="right" vertical="center" wrapText="1"/>
    </xf>
    <xf numFmtId="0" fontId="20" fillId="3" borderId="7" xfId="0" applyFont="1" applyFill="1" applyBorder="1" applyAlignment="1">
      <alignment horizontal="right" vertical="center" wrapText="1"/>
    </xf>
    <xf numFmtId="0" fontId="20" fillId="3" borderId="2" xfId="0" applyFont="1" applyFill="1" applyBorder="1" applyAlignment="1">
      <alignment horizontal="right" vertical="center" wrapText="1"/>
    </xf>
    <xf numFmtId="0" fontId="0" fillId="11" borderId="0" xfId="0" applyFill="1" applyAlignment="1">
      <alignment vertical="center"/>
    </xf>
    <xf numFmtId="4" fontId="0" fillId="11" borderId="0" xfId="0" applyNumberFormat="1" applyFill="1" applyAlignment="1">
      <alignment vertical="center"/>
    </xf>
    <xf numFmtId="44" fontId="13" fillId="11" borderId="0" xfId="1" applyFont="1" applyFill="1" applyBorder="1" applyAlignment="1">
      <alignment vertical="center"/>
    </xf>
    <xf numFmtId="44" fontId="0" fillId="20" borderId="25" xfId="0" applyNumberFormat="1" applyFill="1" applyBorder="1" applyAlignment="1">
      <alignment vertical="center"/>
    </xf>
    <xf numFmtId="44" fontId="13" fillId="2" borderId="22" xfId="1" applyFont="1" applyFill="1" applyBorder="1" applyAlignment="1">
      <alignment vertical="center"/>
    </xf>
  </cellXfs>
  <cellStyles count="4">
    <cellStyle name="Bom" xfId="2" builtinId="26"/>
    <cellStyle name="Moeda" xfId="1" builtinId="4"/>
    <cellStyle name="Normal" xfId="0" builtinId="0"/>
    <cellStyle name="Ruim" xfId="3" builtinId="27"/>
  </cellStyles>
  <dxfs count="30">
    <dxf>
      <numFmt numFmtId="2" formatCode="0.00"/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alignment horizontal="general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alignment horizontal="general" vertical="center" textRotation="0" wrapText="0" indent="0" justifyLastLine="0" shrinkToFit="0" readingOrder="0"/>
    </dxf>
    <dxf>
      <border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border outline="0">
        <top style="thin">
          <color indexed="64"/>
        </top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C6EFCE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AF4139-70B0-4616-8931-B95DBB25743C}" name="TabelaServiço" displayName="TabelaServiço" ref="B39:S40" totalsRowShown="0" headerRowDxfId="29" headerRowBorderDxfId="28" tableBorderDxfId="27">
  <autoFilter ref="B39:S40" xr:uid="{75CF62C3-9E46-4C40-999D-50B032FBDDA6}"/>
  <sortState xmlns:xlrd2="http://schemas.microsoft.com/office/spreadsheetml/2017/richdata2" ref="B40:S40">
    <sortCondition ref="B39:B40"/>
  </sortState>
  <tableColumns count="18">
    <tableColumn id="1" xr3:uid="{D62068F6-082A-48CA-A53F-6CA459D85FA3}" name="Serviço_x000a_(nomenclatura de acordo com CCT)" dataDxfId="26"/>
    <tableColumn id="2" xr3:uid="{7CE6074E-C6DA-4CA3-B0EE-96B29C2D55AD}" name="CBO" dataDxfId="25"/>
    <tableColumn id="3" xr3:uid="{24935D9C-E243-420E-9D5D-17DEAAD9B257}" name="Faixa salarial" dataDxfId="24"/>
    <tableColumn id="4" xr3:uid="{D450B5EC-29D6-48BB-89A3-06D9E3AB0BF9}" name="Carga horária" dataDxfId="23"/>
    <tableColumn id="12" xr3:uid="{240F2E35-7676-45C6-BE3E-D200C12A1E5F}" name="Dias trabalhados_x000a_(mês - transporte)" dataDxfId="22"/>
    <tableColumn id="5" xr3:uid="{4514327A-6A1D-44AA-901C-C2EED3E806BD}" name="Dias trabalhados_x000a_(mês - alimentação)" dataDxfId="21"/>
    <tableColumn id="6" xr3:uid="{6C5F2191-442D-488D-9EB2-4A5817FB9E59}" name="Salário base" dataDxfId="20"/>
    <tableColumn id="7" xr3:uid="{BE8AE73B-B252-4D41-AF58-3D94A1146547}" name="Periculosidade" dataDxfId="19"/>
    <tableColumn id="8" xr3:uid="{42145F2E-F6F5-4B1D-B68D-51FC92469582}" name="Insalubridade" dataDxfId="18"/>
    <tableColumn id="9" xr3:uid="{2C4D4D28-DBD1-4983-9F27-D5933981791F}" name="Adicional noturno" dataDxfId="17"/>
    <tableColumn id="10" xr3:uid="{E598BE47-8E7D-40F6-8F6B-D00CDEF1EF3E}" name="Assiduidade" dataDxfId="16"/>
    <tableColumn id="11" xr3:uid="{FD74EBE5-9E97-4E56-9D69-19C4E230F1F8}" name="Alimentação" dataDxfId="15"/>
    <tableColumn id="13" xr3:uid="{5894B4F1-723C-4380-BECF-BEE2F8EA18C6}" name="Saúde" dataDxfId="14"/>
    <tableColumn id="14" xr3:uid="{ECE63907-1F16-487E-97D3-488E9F108B89}" name="Cesta básica" dataDxfId="13"/>
    <tableColumn id="15" xr3:uid="{B780220F-4F48-461B-BEC2-42B093252744}" name="Intrajornada" dataDxfId="12"/>
    <tableColumn id="16" xr3:uid="{03A7D4AD-9E61-4627-9FC0-82C21FAA8FC5}" name="Uniforme" dataDxfId="11">
      <calculatedColumnFormula>LOOKUP(TabelaServiço[[#This Row],[Serviço
(nomenclatura de acordo com CCT)]],#REF!,#REF!)</calculatedColumnFormula>
    </tableColumn>
    <tableColumn id="17" xr3:uid="{C916A03F-8509-4175-BC4E-34B74FB77674}" name="Material" dataDxfId="10">
      <calculatedColumnFormula>LOOKUP(TabelaServiço[[#This Row],[Serviço
(nomenclatura de acordo com CCT)]],#REF!,#REF!)</calculatedColumnFormula>
    </tableColumn>
    <tableColumn id="18" xr3:uid="{47D231D8-F16C-4EB4-A447-4426E81AAFCA}" name="Equipamentos" dataDxfId="9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EF82EE2-BB78-40F6-ADAF-91B0146AA5A5}" name="TabelaLocal" displayName="TabelaLocal" ref="B7:E8" totalsRowShown="0" headerRowDxfId="8" dataDxfId="6" headerRowBorderDxfId="7" tableBorderDxfId="5" totalsRowBorderDxfId="4">
  <tableColumns count="4">
    <tableColumn id="1" xr3:uid="{05A92CF9-EF38-4D98-9F8C-72A89B151A03}" name="Unidade/Campus do IFMT" dataDxfId="3"/>
    <tableColumn id="2" xr3:uid="{3FE0FB1A-6DEE-42ED-A2FB-826D7FCD3F7D}" name="Município/UF" dataDxfId="2"/>
    <tableColumn id="3" xr3:uid="{EAEED7BD-4AD9-4975-9148-420F4BC09225}" name="ISS (%)" dataDxfId="1"/>
    <tableColumn id="4" xr3:uid="{7476AFB4-6F7C-4E67-A2AD-CB94C5BEBCDD}" name="Transporte _x000a_(Valor do VT OU Alternativo)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BDB07-92AB-4EB4-907A-11D38AFC3E55}">
  <sheetPr>
    <tabColor rgb="FF92D050"/>
  </sheetPr>
  <dimension ref="A1:S70"/>
  <sheetViews>
    <sheetView tabSelected="1" zoomScaleNormal="100" workbookViewId="0">
      <selection activeCell="P40" sqref="P40"/>
    </sheetView>
  </sheetViews>
  <sheetFormatPr defaultColWidth="9.140625" defaultRowHeight="15" x14ac:dyDescent="0.25"/>
  <cols>
    <col min="1" max="1" width="11" style="2" bestFit="1" customWidth="1"/>
    <col min="2" max="2" width="47.5703125" style="2" bestFit="1" customWidth="1"/>
    <col min="3" max="3" width="24.42578125" style="1" customWidth="1"/>
    <col min="4" max="4" width="12.28515625" style="2" customWidth="1"/>
    <col min="5" max="5" width="12" style="2" customWidth="1"/>
    <col min="6" max="6" width="15.7109375" style="2" customWidth="1"/>
    <col min="7" max="7" width="16.85546875" style="2" customWidth="1"/>
    <col min="8" max="8" width="17.28515625" style="2" customWidth="1"/>
    <col min="9" max="9" width="14" style="2" customWidth="1"/>
    <col min="10" max="10" width="13.42578125" style="2" customWidth="1"/>
    <col min="11" max="11" width="9.7109375" style="2" customWidth="1"/>
    <col min="12" max="12" width="11.42578125" style="2" customWidth="1"/>
    <col min="13" max="13" width="12" style="2" customWidth="1"/>
    <col min="14" max="14" width="7.85546875" style="2" customWidth="1"/>
    <col min="15" max="16" width="12.140625" style="2" customWidth="1"/>
    <col min="17" max="17" width="11.42578125" style="2" hidden="1" customWidth="1"/>
    <col min="18" max="18" width="12.85546875" style="2" hidden="1" customWidth="1"/>
    <col min="19" max="19" width="13.5703125" style="2" hidden="1" customWidth="1"/>
    <col min="20" max="16384" width="9.140625" style="2"/>
  </cols>
  <sheetData>
    <row r="1" spans="1:19" ht="37.5" x14ac:dyDescent="0.25">
      <c r="B1" s="103" t="s">
        <v>191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</row>
    <row r="2" spans="1:19" ht="15" customHeight="1" x14ac:dyDescent="0.25">
      <c r="B2" s="109" t="s">
        <v>28</v>
      </c>
      <c r="C2" s="109"/>
      <c r="D2" s="109"/>
      <c r="E2" s="104" t="s">
        <v>40</v>
      </c>
      <c r="F2" s="104"/>
    </row>
    <row r="3" spans="1:19" ht="15" customHeight="1" x14ac:dyDescent="0.25">
      <c r="B3" s="109" t="s">
        <v>38</v>
      </c>
      <c r="C3" s="109"/>
      <c r="D3" s="109"/>
      <c r="E3" s="105">
        <v>45292</v>
      </c>
      <c r="F3" s="105"/>
    </row>
    <row r="4" spans="1:19" ht="15" customHeight="1" x14ac:dyDescent="0.25">
      <c r="C4" s="2"/>
    </row>
    <row r="5" spans="1:19" ht="15" customHeight="1" x14ac:dyDescent="0.25">
      <c r="B5" s="111" t="s">
        <v>139</v>
      </c>
      <c r="C5" s="111"/>
      <c r="D5" s="2" t="s">
        <v>192</v>
      </c>
    </row>
    <row r="6" spans="1:19" ht="15" customHeight="1" x14ac:dyDescent="0.25">
      <c r="A6" s="23" t="s">
        <v>141</v>
      </c>
      <c r="B6" s="24">
        <v>1</v>
      </c>
      <c r="C6" s="24">
        <v>2</v>
      </c>
      <c r="D6" s="24">
        <v>3</v>
      </c>
      <c r="E6" s="24">
        <v>4</v>
      </c>
      <c r="F6" s="24"/>
    </row>
    <row r="7" spans="1:19" ht="37.5" x14ac:dyDescent="0.25">
      <c r="B7" s="30" t="s">
        <v>24</v>
      </c>
      <c r="C7" s="31" t="s">
        <v>26</v>
      </c>
      <c r="D7" s="31" t="s">
        <v>18</v>
      </c>
      <c r="E7" s="32" t="s">
        <v>174</v>
      </c>
      <c r="F7" s="75"/>
    </row>
    <row r="8" spans="1:19" ht="15" customHeight="1" x14ac:dyDescent="0.25">
      <c r="B8" s="25" t="s">
        <v>16</v>
      </c>
      <c r="C8" s="21" t="s">
        <v>41</v>
      </c>
      <c r="D8" s="28">
        <v>3</v>
      </c>
      <c r="E8" s="26" t="s">
        <v>17</v>
      </c>
      <c r="F8" s="75"/>
      <c r="G8" s="112" t="s">
        <v>142</v>
      </c>
      <c r="H8" s="113"/>
    </row>
    <row r="9" spans="1:19" ht="15" customHeight="1" x14ac:dyDescent="0.25">
      <c r="B9" s="25"/>
      <c r="C9" s="21"/>
      <c r="D9" s="28"/>
      <c r="E9" s="26"/>
      <c r="F9" s="75"/>
      <c r="G9" s="33" t="s">
        <v>168</v>
      </c>
      <c r="H9" s="34">
        <v>60</v>
      </c>
    </row>
    <row r="10" spans="1:19" ht="15" customHeight="1" x14ac:dyDescent="0.25">
      <c r="B10" s="25"/>
      <c r="C10" s="21"/>
      <c r="D10" s="28"/>
      <c r="E10" s="26"/>
      <c r="F10" s="75"/>
    </row>
    <row r="11" spans="1:19" ht="15" customHeight="1" x14ac:dyDescent="0.25">
      <c r="B11" s="25"/>
      <c r="C11" s="21"/>
      <c r="D11" s="28"/>
      <c r="E11" s="26"/>
      <c r="F11" s="75"/>
    </row>
    <row r="12" spans="1:19" ht="15" customHeight="1" x14ac:dyDescent="0.25">
      <c r="B12" s="25"/>
      <c r="C12" s="21"/>
      <c r="D12" s="28"/>
      <c r="E12" s="26"/>
      <c r="F12" s="75"/>
      <c r="G12" s="112" t="s">
        <v>167</v>
      </c>
      <c r="H12" s="113"/>
    </row>
    <row r="13" spans="1:19" ht="15" customHeight="1" x14ac:dyDescent="0.25">
      <c r="B13" s="25"/>
      <c r="C13" s="21"/>
      <c r="D13" s="28"/>
      <c r="E13" s="26"/>
      <c r="F13" s="75"/>
      <c r="G13" s="36" t="s">
        <v>144</v>
      </c>
      <c r="H13" s="35">
        <v>1412</v>
      </c>
    </row>
    <row r="14" spans="1:19" ht="15" customHeight="1" x14ac:dyDescent="0.25">
      <c r="B14" s="25"/>
      <c r="C14" s="21"/>
      <c r="D14" s="28"/>
      <c r="E14" s="26"/>
      <c r="F14" s="75"/>
    </row>
    <row r="15" spans="1:19" ht="15" customHeight="1" x14ac:dyDescent="0.25">
      <c r="B15" s="25"/>
      <c r="C15" s="21"/>
      <c r="D15" s="28"/>
      <c r="E15" s="26"/>
      <c r="F15" s="75"/>
    </row>
    <row r="16" spans="1:19" ht="15" customHeight="1" x14ac:dyDescent="0.25">
      <c r="B16" s="25"/>
      <c r="C16" s="21"/>
      <c r="D16" s="28"/>
      <c r="E16" s="26"/>
      <c r="F16" s="75"/>
    </row>
    <row r="17" spans="2:6" ht="15" customHeight="1" x14ac:dyDescent="0.25">
      <c r="B17" s="25"/>
      <c r="C17" s="21"/>
      <c r="D17" s="28"/>
      <c r="E17" s="26"/>
      <c r="F17" s="75"/>
    </row>
    <row r="18" spans="2:6" ht="15" customHeight="1" x14ac:dyDescent="0.25">
      <c r="B18" s="25"/>
      <c r="C18" s="21"/>
      <c r="D18" s="28"/>
      <c r="E18" s="26"/>
      <c r="F18" s="75"/>
    </row>
    <row r="19" spans="2:6" ht="15" customHeight="1" x14ac:dyDescent="0.25">
      <c r="B19" s="25"/>
      <c r="C19" s="21"/>
      <c r="D19" s="28"/>
      <c r="E19" s="26"/>
      <c r="F19" s="75"/>
    </row>
    <row r="20" spans="2:6" ht="15" customHeight="1" x14ac:dyDescent="0.25">
      <c r="B20" s="25"/>
      <c r="C20" s="21"/>
      <c r="D20" s="28"/>
      <c r="E20" s="26"/>
      <c r="F20" s="75"/>
    </row>
    <row r="21" spans="2:6" ht="15" customHeight="1" x14ac:dyDescent="0.25">
      <c r="B21" s="25"/>
      <c r="C21" s="21"/>
      <c r="D21" s="28"/>
      <c r="E21" s="26"/>
      <c r="F21" s="75"/>
    </row>
    <row r="22" spans="2:6" ht="15" customHeight="1" x14ac:dyDescent="0.25">
      <c r="B22" s="25"/>
      <c r="C22" s="21"/>
      <c r="D22" s="28"/>
      <c r="E22" s="26"/>
      <c r="F22" s="75"/>
    </row>
    <row r="23" spans="2:6" ht="15" customHeight="1" x14ac:dyDescent="0.25">
      <c r="B23" s="25"/>
      <c r="C23" s="21"/>
      <c r="D23" s="28"/>
      <c r="E23" s="26"/>
      <c r="F23" s="75"/>
    </row>
    <row r="24" spans="2:6" ht="15" customHeight="1" x14ac:dyDescent="0.25">
      <c r="B24" s="25"/>
      <c r="C24" s="21"/>
      <c r="D24" s="28"/>
      <c r="E24" s="26"/>
      <c r="F24" s="75"/>
    </row>
    <row r="25" spans="2:6" ht="15" customHeight="1" x14ac:dyDescent="0.25">
      <c r="B25" s="25"/>
      <c r="C25" s="21"/>
      <c r="D25" s="28"/>
      <c r="E25" s="26"/>
      <c r="F25" s="75"/>
    </row>
    <row r="26" spans="2:6" ht="15" customHeight="1" x14ac:dyDescent="0.25">
      <c r="B26" s="25"/>
      <c r="C26" s="21"/>
      <c r="D26" s="28"/>
      <c r="E26" s="26"/>
      <c r="F26" s="75"/>
    </row>
    <row r="27" spans="2:6" ht="15" customHeight="1" x14ac:dyDescent="0.25">
      <c r="B27" s="25"/>
      <c r="C27" s="21"/>
      <c r="D27" s="28"/>
      <c r="E27" s="26"/>
      <c r="F27" s="75"/>
    </row>
    <row r="28" spans="2:6" ht="15" customHeight="1" x14ac:dyDescent="0.25">
      <c r="B28" s="25"/>
      <c r="C28" s="21"/>
      <c r="D28" s="28"/>
      <c r="E28" s="26"/>
      <c r="F28" s="75"/>
    </row>
    <row r="29" spans="2:6" ht="15" customHeight="1" x14ac:dyDescent="0.25">
      <c r="B29" s="25"/>
      <c r="C29" s="21"/>
      <c r="D29" s="28"/>
      <c r="E29" s="26"/>
      <c r="F29" s="75"/>
    </row>
    <row r="30" spans="2:6" ht="15" customHeight="1" x14ac:dyDescent="0.25">
      <c r="B30" s="25"/>
      <c r="C30" s="21"/>
      <c r="D30" s="28"/>
      <c r="E30" s="26"/>
      <c r="F30" s="75"/>
    </row>
    <row r="31" spans="2:6" ht="15" customHeight="1" x14ac:dyDescent="0.25">
      <c r="B31" s="25"/>
      <c r="C31" s="21"/>
      <c r="D31" s="28"/>
      <c r="E31" s="26"/>
      <c r="F31" s="75"/>
    </row>
    <row r="32" spans="2:6" ht="15" customHeight="1" x14ac:dyDescent="0.25">
      <c r="B32" s="25"/>
      <c r="C32" s="21"/>
      <c r="D32" s="28"/>
      <c r="E32" s="26"/>
      <c r="F32" s="75"/>
    </row>
    <row r="33" spans="1:19" ht="15" customHeight="1" x14ac:dyDescent="0.25">
      <c r="B33" s="27"/>
      <c r="C33" s="22"/>
      <c r="D33" s="28"/>
      <c r="E33" s="26"/>
      <c r="F33" s="75"/>
    </row>
    <row r="34" spans="1:19" x14ac:dyDescent="0.25">
      <c r="B34" s="4"/>
      <c r="C34" s="4"/>
    </row>
    <row r="35" spans="1:19" x14ac:dyDescent="0.25">
      <c r="B35" s="4"/>
      <c r="C35" s="20"/>
      <c r="D35" s="20"/>
      <c r="E35" s="20"/>
      <c r="F35" s="20"/>
    </row>
    <row r="36" spans="1:19" x14ac:dyDescent="0.25">
      <c r="B36" s="111" t="s">
        <v>140</v>
      </c>
      <c r="C36" s="111"/>
      <c r="D36" s="2" t="s">
        <v>193</v>
      </c>
      <c r="Q36" s="110" t="s">
        <v>173</v>
      </c>
      <c r="R36" s="110"/>
      <c r="S36" s="110"/>
    </row>
    <row r="37" spans="1:19" x14ac:dyDescent="0.25">
      <c r="A37" s="23" t="s">
        <v>141</v>
      </c>
      <c r="B37" s="24">
        <v>1</v>
      </c>
      <c r="C37" s="24">
        <v>2</v>
      </c>
      <c r="D37" s="24">
        <v>3</v>
      </c>
      <c r="E37" s="24">
        <v>4</v>
      </c>
      <c r="F37" s="24">
        <v>5</v>
      </c>
      <c r="G37" s="24">
        <v>6</v>
      </c>
      <c r="H37" s="24">
        <v>7</v>
      </c>
      <c r="I37" s="24">
        <v>8</v>
      </c>
      <c r="J37" s="24">
        <v>9</v>
      </c>
      <c r="K37" s="24">
        <v>10</v>
      </c>
      <c r="L37" s="24">
        <v>11</v>
      </c>
      <c r="M37" s="24">
        <v>12</v>
      </c>
      <c r="N37" s="24">
        <v>13</v>
      </c>
      <c r="O37" s="24">
        <v>14</v>
      </c>
      <c r="P37" s="24">
        <v>15</v>
      </c>
      <c r="Q37" s="24">
        <v>16</v>
      </c>
      <c r="R37" s="24">
        <v>17</v>
      </c>
      <c r="S37" s="24">
        <v>18</v>
      </c>
    </row>
    <row r="38" spans="1:19" ht="15" customHeight="1" x14ac:dyDescent="0.25">
      <c r="B38" s="29"/>
      <c r="C38" s="5"/>
      <c r="D38" s="29"/>
      <c r="E38" s="29"/>
      <c r="F38" s="29"/>
      <c r="G38" s="29"/>
      <c r="H38" s="106" t="s">
        <v>2</v>
      </c>
      <c r="I38" s="107"/>
      <c r="J38" s="107"/>
      <c r="K38" s="107"/>
      <c r="L38" s="108"/>
      <c r="M38" s="106" t="s">
        <v>3</v>
      </c>
      <c r="N38" s="107"/>
      <c r="O38" s="107"/>
      <c r="P38" s="108"/>
      <c r="Q38" s="106" t="s">
        <v>181</v>
      </c>
      <c r="R38" s="107"/>
      <c r="S38" s="108"/>
    </row>
    <row r="39" spans="1:19" s="3" customFormat="1" ht="35.450000000000003" customHeight="1" x14ac:dyDescent="0.25">
      <c r="B39" s="77" t="s">
        <v>175</v>
      </c>
      <c r="C39" s="78" t="s">
        <v>14</v>
      </c>
      <c r="D39" s="78" t="s">
        <v>9</v>
      </c>
      <c r="E39" s="78" t="s">
        <v>6</v>
      </c>
      <c r="F39" s="79" t="s">
        <v>176</v>
      </c>
      <c r="G39" s="80" t="s">
        <v>177</v>
      </c>
      <c r="H39" s="70" t="s">
        <v>0</v>
      </c>
      <c r="I39" s="71" t="s">
        <v>11</v>
      </c>
      <c r="J39" s="71" t="s">
        <v>8</v>
      </c>
      <c r="K39" s="71" t="s">
        <v>12</v>
      </c>
      <c r="L39" s="72" t="s">
        <v>1</v>
      </c>
      <c r="M39" s="70" t="s">
        <v>4</v>
      </c>
      <c r="N39" s="71" t="s">
        <v>5</v>
      </c>
      <c r="O39" s="71" t="s">
        <v>95</v>
      </c>
      <c r="P39" s="74" t="s">
        <v>10</v>
      </c>
      <c r="Q39" s="70" t="s">
        <v>165</v>
      </c>
      <c r="R39" s="71" t="s">
        <v>194</v>
      </c>
      <c r="S39" s="72" t="s">
        <v>195</v>
      </c>
    </row>
    <row r="40" spans="1:19" x14ac:dyDescent="0.25">
      <c r="B40" s="83" t="s">
        <v>143</v>
      </c>
      <c r="C40" s="5" t="s">
        <v>15</v>
      </c>
      <c r="D40" s="5" t="s">
        <v>13</v>
      </c>
      <c r="E40" s="5" t="s">
        <v>7</v>
      </c>
      <c r="F40" s="81">
        <f>ROUND(365/12/7*6,2)</f>
        <v>26.07</v>
      </c>
      <c r="G40" s="82">
        <f>ROUND(365/12/7*5,2)</f>
        <v>21.73</v>
      </c>
      <c r="H40" s="89">
        <v>2436.66</v>
      </c>
      <c r="I40" s="5">
        <v>0</v>
      </c>
      <c r="J40" s="5">
        <v>0</v>
      </c>
      <c r="K40" s="5">
        <v>0</v>
      </c>
      <c r="L40" s="90">
        <v>46.58</v>
      </c>
      <c r="M40" s="87">
        <v>22</v>
      </c>
      <c r="N40" s="81">
        <v>49</v>
      </c>
      <c r="O40" s="81">
        <v>152</v>
      </c>
      <c r="P40" s="88">
        <v>0</v>
      </c>
      <c r="Q40" s="85"/>
      <c r="R40" s="86"/>
      <c r="S40" s="73"/>
    </row>
    <row r="41" spans="1:19" x14ac:dyDescent="0.25">
      <c r="C41" s="2"/>
      <c r="E41" s="1"/>
      <c r="F41" s="1"/>
    </row>
    <row r="42" spans="1:19" x14ac:dyDescent="0.25">
      <c r="C42" s="2"/>
    </row>
    <row r="43" spans="1:19" x14ac:dyDescent="0.25">
      <c r="C43" s="2"/>
    </row>
    <row r="44" spans="1:19" x14ac:dyDescent="0.25">
      <c r="C44" s="2"/>
      <c r="H44" s="3"/>
    </row>
    <row r="45" spans="1:19" x14ac:dyDescent="0.25">
      <c r="C45" s="2"/>
      <c r="H45" s="3"/>
    </row>
    <row r="46" spans="1:19" x14ac:dyDescent="0.25">
      <c r="C46" s="2"/>
    </row>
    <row r="47" spans="1:19" hidden="1" x14ac:dyDescent="0.25">
      <c r="C47" s="2"/>
    </row>
    <row r="48" spans="1:19" hidden="1" x14ac:dyDescent="0.25">
      <c r="C48" s="2"/>
    </row>
    <row r="49" spans="2:19" x14ac:dyDescent="0.25">
      <c r="C49" s="2"/>
    </row>
    <row r="50" spans="2:19" s="50" customFormat="1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2:19" x14ac:dyDescent="0.25">
      <c r="C51" s="2"/>
    </row>
    <row r="52" spans="2:19" x14ac:dyDescent="0.25">
      <c r="C52" s="2"/>
    </row>
    <row r="53" spans="2:19" x14ac:dyDescent="0.25">
      <c r="C53" s="2"/>
    </row>
    <row r="54" spans="2:19" x14ac:dyDescent="0.25">
      <c r="C54" s="2"/>
    </row>
    <row r="55" spans="2:19" x14ac:dyDescent="0.25">
      <c r="C55" s="2"/>
    </row>
    <row r="56" spans="2:19" x14ac:dyDescent="0.25">
      <c r="C56" s="2"/>
    </row>
    <row r="57" spans="2:19" x14ac:dyDescent="0.25">
      <c r="C57" s="2"/>
    </row>
    <row r="58" spans="2:19" x14ac:dyDescent="0.25">
      <c r="C58" s="2"/>
    </row>
    <row r="59" spans="2:19" x14ac:dyDescent="0.25">
      <c r="C59" s="2"/>
    </row>
    <row r="60" spans="2:19" x14ac:dyDescent="0.25">
      <c r="C60" s="2"/>
    </row>
    <row r="61" spans="2:19" x14ac:dyDescent="0.25">
      <c r="C61" s="2"/>
    </row>
    <row r="62" spans="2:19" x14ac:dyDescent="0.25">
      <c r="C62" s="2"/>
    </row>
    <row r="63" spans="2:19" x14ac:dyDescent="0.25">
      <c r="C63" s="2"/>
    </row>
    <row r="64" spans="2:19" x14ac:dyDescent="0.25">
      <c r="C64" s="2"/>
    </row>
    <row r="65" spans="3:3" x14ac:dyDescent="0.25">
      <c r="C65" s="2"/>
    </row>
    <row r="66" spans="3:3" x14ac:dyDescent="0.25">
      <c r="C66" s="2"/>
    </row>
    <row r="67" spans="3:3" x14ac:dyDescent="0.25">
      <c r="C67" s="2"/>
    </row>
    <row r="68" spans="3:3" x14ac:dyDescent="0.25">
      <c r="C68" s="2"/>
    </row>
    <row r="69" spans="3:3" x14ac:dyDescent="0.25">
      <c r="C69" s="2"/>
    </row>
    <row r="70" spans="3:3" x14ac:dyDescent="0.25">
      <c r="C70" s="2"/>
    </row>
  </sheetData>
  <sortState xmlns:xlrd2="http://schemas.microsoft.com/office/spreadsheetml/2017/richdata2" ref="B9:E33">
    <sortCondition ref="B9"/>
  </sortState>
  <mergeCells count="13">
    <mergeCell ref="B1:S1"/>
    <mergeCell ref="E2:F2"/>
    <mergeCell ref="E3:F3"/>
    <mergeCell ref="Q38:S38"/>
    <mergeCell ref="M38:P38"/>
    <mergeCell ref="H38:L38"/>
    <mergeCell ref="B2:D2"/>
    <mergeCell ref="B3:D3"/>
    <mergeCell ref="Q36:S36"/>
    <mergeCell ref="B5:C5"/>
    <mergeCell ref="B36:C36"/>
    <mergeCell ref="G8:H8"/>
    <mergeCell ref="G12:H12"/>
  </mergeCells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02112-2FB7-43FC-B6B0-624E2FD58272}">
  <sheetPr>
    <tabColor theme="0" tint="-0.249977111117893"/>
  </sheetPr>
  <dimension ref="B2:K10"/>
  <sheetViews>
    <sheetView zoomScale="80" zoomScaleNormal="80" workbookViewId="0">
      <pane ySplit="6" topLeftCell="A7" activePane="bottomLeft" state="frozen"/>
      <selection activeCell="A113" sqref="A113"/>
      <selection pane="bottomLeft" activeCell="E14" sqref="E14"/>
    </sheetView>
  </sheetViews>
  <sheetFormatPr defaultColWidth="8.85546875" defaultRowHeight="15" x14ac:dyDescent="0.25"/>
  <cols>
    <col min="1" max="1" width="4.7109375" style="2" customWidth="1"/>
    <col min="2" max="2" width="9.85546875" style="2" bestFit="1" customWidth="1"/>
    <col min="3" max="3" width="8.7109375" style="2" bestFit="1" customWidth="1"/>
    <col min="4" max="4" width="22" style="2" customWidth="1"/>
    <col min="5" max="5" width="33.85546875" style="2" customWidth="1"/>
    <col min="6" max="6" width="16.7109375" style="2" customWidth="1"/>
    <col min="7" max="7" width="16.7109375" style="1" customWidth="1"/>
    <col min="8" max="8" width="16.7109375" style="2" customWidth="1"/>
    <col min="9" max="9" width="16.7109375" style="1" customWidth="1"/>
    <col min="10" max="10" width="16.7109375" style="2" customWidth="1"/>
    <col min="11" max="11" width="16.7109375" style="144" customWidth="1"/>
    <col min="12" max="16384" width="8.85546875" style="2"/>
  </cols>
  <sheetData>
    <row r="2" spans="2:11" x14ac:dyDescent="0.25">
      <c r="B2" s="102" t="s">
        <v>198</v>
      </c>
    </row>
    <row r="3" spans="2:11" x14ac:dyDescent="0.25">
      <c r="B3" s="102"/>
    </row>
    <row r="4" spans="2:11" x14ac:dyDescent="0.25">
      <c r="B4" s="102"/>
    </row>
    <row r="6" spans="2:11" s="3" customFormat="1" ht="60" x14ac:dyDescent="0.25">
      <c r="B6" s="93" t="s">
        <v>180</v>
      </c>
      <c r="C6" s="93" t="s">
        <v>24</v>
      </c>
      <c r="D6" s="94" t="s">
        <v>39</v>
      </c>
      <c r="E6" s="93" t="s">
        <v>187</v>
      </c>
      <c r="F6" s="94" t="s">
        <v>190</v>
      </c>
      <c r="G6" s="94" t="s">
        <v>188</v>
      </c>
      <c r="H6" s="94" t="s">
        <v>178</v>
      </c>
      <c r="I6" s="94" t="s">
        <v>189</v>
      </c>
      <c r="J6" s="94" t="s">
        <v>199</v>
      </c>
      <c r="K6" s="53"/>
    </row>
    <row r="7" spans="2:11" ht="15" customHeight="1" x14ac:dyDescent="0.25">
      <c r="B7" s="95">
        <v>1</v>
      </c>
      <c r="C7" s="96" t="s">
        <v>16</v>
      </c>
      <c r="D7" s="97" t="s">
        <v>143</v>
      </c>
      <c r="E7" s="98">
        <f>'DMT-Auxiliar Operacional'!D145</f>
        <v>6127.06</v>
      </c>
      <c r="F7" s="95">
        <v>1</v>
      </c>
      <c r="G7" s="99">
        <f>E7*F7</f>
        <v>6127.06</v>
      </c>
      <c r="H7" s="100">
        <v>2</v>
      </c>
      <c r="I7" s="101">
        <f t="shared" ref="I7" si="0">G7*H7</f>
        <v>12254.12</v>
      </c>
      <c r="J7" s="147">
        <f>I7*6</f>
        <v>73524.72</v>
      </c>
    </row>
    <row r="8" spans="2:11" ht="27.75" customHeight="1" x14ac:dyDescent="0.25">
      <c r="B8" s="114" t="s">
        <v>179</v>
      </c>
      <c r="C8" s="114"/>
      <c r="D8" s="114"/>
      <c r="E8" s="114"/>
      <c r="F8" s="114"/>
      <c r="G8" s="114"/>
      <c r="H8" s="114"/>
      <c r="I8" s="114"/>
      <c r="J8" s="148">
        <f>SUM(J7:J7)</f>
        <v>73524.72</v>
      </c>
      <c r="K8" s="146"/>
    </row>
    <row r="10" spans="2:11" x14ac:dyDescent="0.25">
      <c r="K10" s="145"/>
    </row>
  </sheetData>
  <mergeCells count="1">
    <mergeCell ref="B8:I8"/>
  </mergeCells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Unidade não identificada" error="Escolher na lista pré-definida" promptTitle="Lista de Localidades" prompt=" " xr:uid="{CB6A26EB-5655-4106-9239-46C26D79DFCA}">
          <x14:formula1>
            <xm:f>'DADOS Local e Serviço'!$B$8:$B$33</xm:f>
          </x14:formula1>
          <xm:sqref>C7</xm:sqref>
        </x14:dataValidation>
        <x14:dataValidation type="list" allowBlank="1" showInputMessage="1" showErrorMessage="1" errorTitle="Serviço não identificado" error="Escolher na lista pré-definida" promptTitle="Lista de Serviços" prompt=" " xr:uid="{D7A496FA-9F80-4295-833C-AB173A938295}">
          <x14:formula1>
            <xm:f>'DADOS Local e Serviço'!$B$40:$B$40</xm:f>
          </x14:formula1>
          <xm:sqref>D7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41FD8-1E19-425D-A89A-9A1D789AA0F5}">
  <sheetPr>
    <tabColor rgb="FF00B0F0"/>
  </sheetPr>
  <dimension ref="A1:F147"/>
  <sheetViews>
    <sheetView topLeftCell="A126" zoomScaleNormal="100" workbookViewId="0">
      <selection activeCell="D29" sqref="D29"/>
    </sheetView>
  </sheetViews>
  <sheetFormatPr defaultColWidth="9.140625" defaultRowHeight="12.75" x14ac:dyDescent="0.25"/>
  <cols>
    <col min="1" max="1" width="7.7109375" style="6" customWidth="1"/>
    <col min="2" max="2" width="106.42578125" style="6" bestFit="1" customWidth="1"/>
    <col min="3" max="3" width="20.140625" style="6" customWidth="1"/>
    <col min="4" max="4" width="37" style="6" bestFit="1" customWidth="1"/>
    <col min="5" max="5" width="30.42578125" style="54" bestFit="1" customWidth="1"/>
    <col min="6" max="6" width="16.140625" style="54" bestFit="1" customWidth="1"/>
    <col min="7" max="16384" width="9.140625" style="6"/>
  </cols>
  <sheetData>
    <row r="1" spans="1:6" s="53" customFormat="1" ht="37.5" x14ac:dyDescent="0.25">
      <c r="A1" s="119" t="s">
        <v>19</v>
      </c>
      <c r="B1" s="119"/>
      <c r="C1" s="119"/>
      <c r="D1" s="119"/>
      <c r="E1" s="52"/>
      <c r="F1" s="6"/>
    </row>
    <row r="2" spans="1:6" x14ac:dyDescent="0.25">
      <c r="F2" s="6"/>
    </row>
    <row r="3" spans="1:6" ht="21" customHeight="1" x14ac:dyDescent="0.25">
      <c r="A3" s="120" t="str">
        <f>UPPER(D8)&amp;" - "&amp;UPPER(D14)</f>
        <v>CAMPUS DIAMANTINO - AUXILIAR OPERACIONAL ADMINISTRATIVO 44H</v>
      </c>
      <c r="B3" s="120"/>
      <c r="C3" s="120"/>
      <c r="D3" s="120"/>
      <c r="F3" s="6"/>
    </row>
    <row r="4" spans="1:6" x14ac:dyDescent="0.25">
      <c r="A4" s="118" t="s">
        <v>20</v>
      </c>
      <c r="B4" s="118"/>
      <c r="C4" s="118"/>
      <c r="D4" s="118"/>
      <c r="F4" s="6"/>
    </row>
    <row r="5" spans="1:6" ht="15" customHeight="1" x14ac:dyDescent="0.25">
      <c r="A5" s="11" t="s">
        <v>21</v>
      </c>
      <c r="B5" s="115" t="s">
        <v>22</v>
      </c>
      <c r="C5" s="115"/>
      <c r="D5" s="55"/>
      <c r="E5" s="65" t="s">
        <v>169</v>
      </c>
      <c r="F5" s="6"/>
    </row>
    <row r="6" spans="1:6" ht="15" customHeight="1" x14ac:dyDescent="0.25">
      <c r="A6" s="11" t="s">
        <v>23</v>
      </c>
      <c r="B6" s="115" t="s">
        <v>32</v>
      </c>
      <c r="C6" s="115"/>
      <c r="D6" s="68"/>
      <c r="E6" s="65" t="s">
        <v>169</v>
      </c>
      <c r="F6" s="6"/>
    </row>
    <row r="7" spans="1:6" ht="15" customHeight="1" x14ac:dyDescent="0.25">
      <c r="A7" s="11" t="s">
        <v>25</v>
      </c>
      <c r="B7" s="121" t="s">
        <v>34</v>
      </c>
      <c r="C7" s="121"/>
      <c r="D7" s="69"/>
      <c r="E7" s="65" t="s">
        <v>169</v>
      </c>
      <c r="F7" s="6"/>
    </row>
    <row r="8" spans="1:6" ht="15" customHeight="1" x14ac:dyDescent="0.25">
      <c r="A8" s="11" t="s">
        <v>27</v>
      </c>
      <c r="B8" s="115" t="s">
        <v>24</v>
      </c>
      <c r="C8" s="115"/>
      <c r="D8" s="91" t="s">
        <v>16</v>
      </c>
      <c r="E8" s="76" t="s">
        <v>170</v>
      </c>
      <c r="F8" s="6"/>
    </row>
    <row r="9" spans="1:6" ht="15.75" customHeight="1" x14ac:dyDescent="0.25">
      <c r="A9" s="11" t="s">
        <v>29</v>
      </c>
      <c r="B9" s="115" t="s">
        <v>26</v>
      </c>
      <c r="C9" s="115"/>
      <c r="D9" s="57" t="str">
        <f>VLOOKUP(D8,TabelaLocal[],2,FALSE)</f>
        <v>Diamantino/MT</v>
      </c>
      <c r="F9" s="6"/>
    </row>
    <row r="10" spans="1:6" ht="15" customHeight="1" x14ac:dyDescent="0.25">
      <c r="A10" s="11" t="s">
        <v>31</v>
      </c>
      <c r="B10" s="115" t="s">
        <v>28</v>
      </c>
      <c r="C10" s="115"/>
      <c r="D10" s="11" t="str">
        <f>'DADOS Local e Serviço'!E2</f>
        <v>MT000075/2024</v>
      </c>
      <c r="F10" s="6"/>
    </row>
    <row r="11" spans="1:6" ht="15" customHeight="1" x14ac:dyDescent="0.25">
      <c r="A11" s="67" t="s">
        <v>33</v>
      </c>
      <c r="B11" s="116" t="s">
        <v>30</v>
      </c>
      <c r="C11" s="117"/>
      <c r="D11" s="11">
        <v>6</v>
      </c>
      <c r="F11" s="6"/>
    </row>
    <row r="12" spans="1:6" x14ac:dyDescent="0.25">
      <c r="F12" s="6"/>
    </row>
    <row r="13" spans="1:6" x14ac:dyDescent="0.25">
      <c r="A13" s="118" t="s">
        <v>35</v>
      </c>
      <c r="B13" s="118"/>
      <c r="C13" s="118"/>
      <c r="D13" s="118"/>
      <c r="F13" s="6"/>
    </row>
    <row r="14" spans="1:6" ht="15" customHeight="1" x14ac:dyDescent="0.25">
      <c r="A14" s="11">
        <v>1</v>
      </c>
      <c r="B14" s="115" t="s">
        <v>39</v>
      </c>
      <c r="C14" s="115"/>
      <c r="D14" s="56" t="s">
        <v>143</v>
      </c>
      <c r="E14" s="76" t="s">
        <v>171</v>
      </c>
      <c r="F14" s="6"/>
    </row>
    <row r="15" spans="1:6" ht="15" customHeight="1" x14ac:dyDescent="0.25">
      <c r="A15" s="11">
        <v>2</v>
      </c>
      <c r="B15" s="115" t="s">
        <v>36</v>
      </c>
      <c r="C15" s="115"/>
      <c r="D15" s="11" t="str">
        <f>VLOOKUP($D$14,TabelaServiço[],2,FALSE)</f>
        <v>4110-05</v>
      </c>
    </row>
    <row r="16" spans="1:6" ht="15" customHeight="1" x14ac:dyDescent="0.25">
      <c r="A16" s="11">
        <v>3</v>
      </c>
      <c r="B16" s="115" t="s">
        <v>37</v>
      </c>
      <c r="C16" s="115"/>
      <c r="D16" s="10">
        <f>VLOOKUP($D$14,TabelaServiço[],7,FALSE)</f>
        <v>2436.66</v>
      </c>
    </row>
    <row r="17" spans="1:6" ht="15" customHeight="1" x14ac:dyDescent="0.25">
      <c r="A17" s="11">
        <v>4</v>
      </c>
      <c r="B17" s="115" t="s">
        <v>184</v>
      </c>
      <c r="C17" s="115"/>
      <c r="D17" s="10"/>
    </row>
    <row r="18" spans="1:6" ht="15" customHeight="1" x14ac:dyDescent="0.25">
      <c r="A18" s="11">
        <v>5</v>
      </c>
      <c r="B18" s="115" t="s">
        <v>38</v>
      </c>
      <c r="C18" s="115"/>
      <c r="D18" s="58">
        <f>'DADOS Local e Serviço'!E3</f>
        <v>45292</v>
      </c>
    </row>
    <row r="19" spans="1:6" ht="15" customHeight="1" x14ac:dyDescent="0.25">
      <c r="A19" s="11">
        <v>6</v>
      </c>
      <c r="B19" s="115" t="s">
        <v>182</v>
      </c>
      <c r="C19" s="115"/>
      <c r="D19" s="92">
        <v>2</v>
      </c>
      <c r="E19" s="76" t="s">
        <v>183</v>
      </c>
    </row>
    <row r="21" spans="1:6" ht="12.75" customHeight="1" x14ac:dyDescent="0.2">
      <c r="A21" s="124" t="s">
        <v>42</v>
      </c>
      <c r="B21" s="124"/>
      <c r="C21" s="124"/>
      <c r="D21" s="124"/>
    </row>
    <row r="22" spans="1:6" x14ac:dyDescent="0.2">
      <c r="A22" s="7">
        <v>1</v>
      </c>
      <c r="B22" s="122" t="s">
        <v>43</v>
      </c>
      <c r="C22" s="122"/>
      <c r="D22" s="8" t="s">
        <v>44</v>
      </c>
    </row>
    <row r="23" spans="1:6" x14ac:dyDescent="0.25">
      <c r="A23" s="11" t="s">
        <v>21</v>
      </c>
      <c r="B23" s="123" t="s">
        <v>45</v>
      </c>
      <c r="C23" s="123"/>
      <c r="D23" s="41">
        <f>VLOOKUP($D$14,TabelaServiço[],7,FALSE)</f>
        <v>2436.66</v>
      </c>
    </row>
    <row r="24" spans="1:6" x14ac:dyDescent="0.2">
      <c r="A24" s="9" t="s">
        <v>23</v>
      </c>
      <c r="B24" s="123" t="s">
        <v>111</v>
      </c>
      <c r="C24" s="123"/>
      <c r="D24" s="41">
        <f>VLOOKUP($D$14,TabelaServiço[],8,FALSE)</f>
        <v>0</v>
      </c>
    </row>
    <row r="25" spans="1:6" x14ac:dyDescent="0.25">
      <c r="A25" s="11" t="s">
        <v>25</v>
      </c>
      <c r="B25" s="123" t="s">
        <v>112</v>
      </c>
      <c r="C25" s="123"/>
      <c r="D25" s="41">
        <f>VLOOKUP($D$14,TabelaServiço[],9,FALSE)</f>
        <v>0</v>
      </c>
    </row>
    <row r="26" spans="1:6" x14ac:dyDescent="0.25">
      <c r="A26" s="11" t="s">
        <v>27</v>
      </c>
      <c r="B26" s="123" t="s">
        <v>166</v>
      </c>
      <c r="C26" s="123"/>
      <c r="D26" s="41">
        <f>VLOOKUP($D$14,TabelaServiço[],10,FALSE)</f>
        <v>0</v>
      </c>
    </row>
    <row r="27" spans="1:6" x14ac:dyDescent="0.25">
      <c r="A27" s="11" t="s">
        <v>29</v>
      </c>
      <c r="B27" s="123" t="s">
        <v>47</v>
      </c>
      <c r="C27" s="123"/>
      <c r="D27" s="41">
        <f>VLOOKUP($D$14,TabelaServiço[],11,FALSE)</f>
        <v>46.58</v>
      </c>
    </row>
    <row r="28" spans="1:6" x14ac:dyDescent="0.25">
      <c r="A28" s="11" t="s">
        <v>31</v>
      </c>
      <c r="B28" s="123" t="s">
        <v>145</v>
      </c>
      <c r="C28" s="123"/>
      <c r="D28" s="41">
        <v>0</v>
      </c>
      <c r="E28" s="76" t="s">
        <v>172</v>
      </c>
    </row>
    <row r="29" spans="1:6" x14ac:dyDescent="0.2">
      <c r="A29" s="18"/>
      <c r="B29" s="122" t="s">
        <v>146</v>
      </c>
      <c r="C29" s="122"/>
      <c r="D29" s="19">
        <f>SUM(D23:D28)</f>
        <v>2483.2399999999998</v>
      </c>
      <c r="E29" s="59"/>
    </row>
    <row r="30" spans="1:6" s="62" customFormat="1" ht="12.75" customHeight="1" x14ac:dyDescent="0.25">
      <c r="A30" s="127" t="s">
        <v>56</v>
      </c>
      <c r="B30" s="127"/>
      <c r="C30" s="127"/>
      <c r="D30" s="127"/>
      <c r="E30" s="60"/>
      <c r="F30" s="61"/>
    </row>
    <row r="32" spans="1:6" ht="12.75" customHeight="1" x14ac:dyDescent="0.25">
      <c r="A32" s="129" t="s">
        <v>48</v>
      </c>
      <c r="B32" s="129"/>
      <c r="C32" s="129"/>
      <c r="D32" s="129"/>
      <c r="F32" s="63"/>
    </row>
    <row r="33" spans="1:6" ht="12.75" customHeight="1" x14ac:dyDescent="0.25">
      <c r="A33" s="128" t="s">
        <v>49</v>
      </c>
      <c r="B33" s="128"/>
      <c r="C33" s="128"/>
      <c r="D33" s="128"/>
    </row>
    <row r="34" spans="1:6" x14ac:dyDescent="0.25">
      <c r="A34" s="8" t="s">
        <v>50</v>
      </c>
      <c r="B34" s="126" t="s">
        <v>51</v>
      </c>
      <c r="C34" s="126"/>
      <c r="D34" s="8" t="s">
        <v>44</v>
      </c>
    </row>
    <row r="35" spans="1:6" x14ac:dyDescent="0.25">
      <c r="A35" s="11" t="s">
        <v>21</v>
      </c>
      <c r="B35" s="14" t="s">
        <v>121</v>
      </c>
      <c r="C35" s="38" t="s">
        <v>52</v>
      </c>
      <c r="D35" s="41">
        <f>D29*(1/12)</f>
        <v>206.93666666666664</v>
      </c>
    </row>
    <row r="36" spans="1:6" x14ac:dyDescent="0.25">
      <c r="A36" s="11" t="s">
        <v>23</v>
      </c>
      <c r="B36" s="14" t="s">
        <v>122</v>
      </c>
      <c r="C36" s="38" t="s">
        <v>52</v>
      </c>
      <c r="D36" s="41">
        <f>D29*(1/3)/12</f>
        <v>68.978888888888875</v>
      </c>
    </row>
    <row r="37" spans="1:6" ht="12.75" customHeight="1" x14ac:dyDescent="0.25">
      <c r="A37" s="125" t="s">
        <v>53</v>
      </c>
      <c r="B37" s="125"/>
      <c r="C37" s="125"/>
      <c r="D37" s="42">
        <f>D35+D36</f>
        <v>275.9155555555555</v>
      </c>
    </row>
    <row r="38" spans="1:6" x14ac:dyDescent="0.25">
      <c r="A38" s="11" t="s">
        <v>25</v>
      </c>
      <c r="B38" s="14" t="s">
        <v>54</v>
      </c>
      <c r="C38" s="38" t="s">
        <v>52</v>
      </c>
      <c r="D38" s="41">
        <f>D37*C53</f>
        <v>109.81439111111111</v>
      </c>
    </row>
    <row r="39" spans="1:6" ht="12.75" customHeight="1" x14ac:dyDescent="0.25">
      <c r="A39" s="126" t="s">
        <v>55</v>
      </c>
      <c r="B39" s="126"/>
      <c r="C39" s="126"/>
      <c r="D39" s="40">
        <f>D37+D38</f>
        <v>385.72994666666659</v>
      </c>
    </row>
    <row r="40" spans="1:6" s="62" customFormat="1" x14ac:dyDescent="0.25">
      <c r="A40" s="127" t="s">
        <v>57</v>
      </c>
      <c r="B40" s="127"/>
      <c r="C40" s="127"/>
      <c r="D40" s="127"/>
      <c r="E40" s="61"/>
      <c r="F40" s="61"/>
    </row>
    <row r="41" spans="1:6" s="62" customFormat="1" ht="12.75" customHeight="1" x14ac:dyDescent="0.25">
      <c r="A41" s="127" t="s">
        <v>58</v>
      </c>
      <c r="B41" s="127"/>
      <c r="C41" s="127"/>
      <c r="D41" s="127"/>
      <c r="E41" s="61"/>
      <c r="F41" s="61"/>
    </row>
    <row r="43" spans="1:6" ht="12.75" customHeight="1" x14ac:dyDescent="0.25">
      <c r="A43" s="128" t="s">
        <v>59</v>
      </c>
      <c r="B43" s="128"/>
      <c r="C43" s="128"/>
      <c r="D43" s="128"/>
    </row>
    <row r="44" spans="1:6" x14ac:dyDescent="0.25">
      <c r="A44" s="8" t="s">
        <v>60</v>
      </c>
      <c r="B44" s="13" t="s">
        <v>61</v>
      </c>
      <c r="C44" s="8" t="s">
        <v>62</v>
      </c>
      <c r="D44" s="8" t="s">
        <v>44</v>
      </c>
    </row>
    <row r="45" spans="1:6" x14ac:dyDescent="0.25">
      <c r="A45" s="11" t="s">
        <v>21</v>
      </c>
      <c r="B45" s="14" t="s">
        <v>63</v>
      </c>
      <c r="C45" s="15">
        <v>0.2</v>
      </c>
      <c r="D45" s="41">
        <f t="shared" ref="D45:D52" si="0">$D$29*C45</f>
        <v>496.64799999999997</v>
      </c>
    </row>
    <row r="46" spans="1:6" x14ac:dyDescent="0.25">
      <c r="A46" s="11" t="s">
        <v>23</v>
      </c>
      <c r="B46" s="14" t="s">
        <v>64</v>
      </c>
      <c r="C46" s="37">
        <v>2.5000000000000001E-2</v>
      </c>
      <c r="D46" s="41">
        <f t="shared" si="0"/>
        <v>62.080999999999996</v>
      </c>
    </row>
    <row r="47" spans="1:6" ht="15" x14ac:dyDescent="0.25">
      <c r="A47" s="11" t="s">
        <v>25</v>
      </c>
      <c r="B47" s="14" t="s">
        <v>65</v>
      </c>
      <c r="C47" s="51">
        <v>0.06</v>
      </c>
      <c r="D47" s="41">
        <f t="shared" si="0"/>
        <v>148.99439999999998</v>
      </c>
      <c r="E47" s="65" t="s">
        <v>169</v>
      </c>
    </row>
    <row r="48" spans="1:6" x14ac:dyDescent="0.25">
      <c r="A48" s="11" t="s">
        <v>27</v>
      </c>
      <c r="B48" s="14" t="s">
        <v>66</v>
      </c>
      <c r="C48" s="37">
        <v>1.4999999999999999E-2</v>
      </c>
      <c r="D48" s="41">
        <f t="shared" si="0"/>
        <v>37.248599999999996</v>
      </c>
    </row>
    <row r="49" spans="1:6" x14ac:dyDescent="0.25">
      <c r="A49" s="11" t="s">
        <v>29</v>
      </c>
      <c r="B49" s="14" t="s">
        <v>67</v>
      </c>
      <c r="C49" s="37">
        <v>0.01</v>
      </c>
      <c r="D49" s="41">
        <f t="shared" si="0"/>
        <v>24.8324</v>
      </c>
    </row>
    <row r="50" spans="1:6" x14ac:dyDescent="0.25">
      <c r="A50" s="11" t="s">
        <v>31</v>
      </c>
      <c r="B50" s="14" t="s">
        <v>68</v>
      </c>
      <c r="C50" s="37">
        <v>6.0000000000000001E-3</v>
      </c>
      <c r="D50" s="41">
        <f t="shared" si="0"/>
        <v>14.899439999999998</v>
      </c>
    </row>
    <row r="51" spans="1:6" x14ac:dyDescent="0.25">
      <c r="A51" s="11" t="s">
        <v>33</v>
      </c>
      <c r="B51" s="14" t="s">
        <v>69</v>
      </c>
      <c r="C51" s="37">
        <v>2E-3</v>
      </c>
      <c r="D51" s="41">
        <f t="shared" si="0"/>
        <v>4.9664799999999998</v>
      </c>
    </row>
    <row r="52" spans="1:6" x14ac:dyDescent="0.25">
      <c r="A52" s="11" t="s">
        <v>46</v>
      </c>
      <c r="B52" s="14" t="s">
        <v>70</v>
      </c>
      <c r="C52" s="37">
        <v>0.08</v>
      </c>
      <c r="D52" s="41">
        <f t="shared" si="0"/>
        <v>198.6592</v>
      </c>
    </row>
    <row r="53" spans="1:6" x14ac:dyDescent="0.25">
      <c r="A53" s="16"/>
      <c r="B53" s="13" t="s">
        <v>71</v>
      </c>
      <c r="C53" s="17">
        <f>SUM(C45:C52)</f>
        <v>0.39800000000000008</v>
      </c>
      <c r="D53" s="40">
        <f>SUM(D45:D52)</f>
        <v>988.32952</v>
      </c>
    </row>
    <row r="55" spans="1:6" ht="12.75" customHeight="1" x14ac:dyDescent="0.25">
      <c r="A55" s="128" t="s">
        <v>72</v>
      </c>
      <c r="B55" s="128"/>
      <c r="C55" s="128"/>
      <c r="D55" s="128"/>
    </row>
    <row r="56" spans="1:6" x14ac:dyDescent="0.25">
      <c r="A56" s="8" t="s">
        <v>73</v>
      </c>
      <c r="B56" s="126" t="s">
        <v>74</v>
      </c>
      <c r="C56" s="126"/>
      <c r="D56" s="8" t="s">
        <v>44</v>
      </c>
    </row>
    <row r="57" spans="1:6" x14ac:dyDescent="0.25">
      <c r="A57" s="11" t="s">
        <v>21</v>
      </c>
      <c r="B57" s="123" t="s">
        <v>113</v>
      </c>
      <c r="C57" s="123"/>
      <c r="D57" s="41">
        <f>IF((VLOOKUP(D8,TabelaLocal[],4,FALSE)="Alternativo"),'DADOS Local e Serviço'!H9,((VLOOKUP($D$8,TabelaLocal[],4,FALSE)*2*VLOOKUP($D$14,TabelaServiço[],5,FALSE)))-(D23*0.06))</f>
        <v>60</v>
      </c>
      <c r="E57" s="59"/>
    </row>
    <row r="58" spans="1:6" x14ac:dyDescent="0.25">
      <c r="A58" s="11" t="s">
        <v>23</v>
      </c>
      <c r="B58" s="123" t="s">
        <v>114</v>
      </c>
      <c r="C58" s="123"/>
      <c r="D58" s="41">
        <f>VLOOKUP($D$14,TabelaServiço[],12,FALSE)*VLOOKUP($D$14,TabelaServiço[],6,FALSE)*0.8</f>
        <v>382.44800000000004</v>
      </c>
    </row>
    <row r="59" spans="1:6" x14ac:dyDescent="0.25">
      <c r="A59" s="11" t="s">
        <v>25</v>
      </c>
      <c r="B59" s="123" t="s">
        <v>75</v>
      </c>
      <c r="C59" s="123"/>
      <c r="D59" s="41">
        <f>VLOOKUP($D$14,TabelaServiço[],13,FALSE)</f>
        <v>49</v>
      </c>
    </row>
    <row r="60" spans="1:6" x14ac:dyDescent="0.25">
      <c r="A60" s="11" t="s">
        <v>27</v>
      </c>
      <c r="B60" s="123" t="s">
        <v>76</v>
      </c>
      <c r="C60" s="123"/>
      <c r="D60" s="41">
        <f>VLOOKUP($D$14,TabelaServiço[],14,FALSE)</f>
        <v>152</v>
      </c>
    </row>
    <row r="61" spans="1:6" ht="12.75" customHeight="1" x14ac:dyDescent="0.25">
      <c r="A61" s="126" t="s">
        <v>185</v>
      </c>
      <c r="B61" s="126"/>
      <c r="C61" s="126"/>
      <c r="D61" s="40">
        <f>SUM(D57:D60)</f>
        <v>643.44800000000009</v>
      </c>
    </row>
    <row r="62" spans="1:6" s="62" customFormat="1" ht="12.75" customHeight="1" x14ac:dyDescent="0.2">
      <c r="A62" s="130" t="s">
        <v>160</v>
      </c>
      <c r="B62" s="130"/>
      <c r="C62" s="130"/>
      <c r="D62" s="130"/>
      <c r="E62" s="61"/>
      <c r="F62" s="61"/>
    </row>
    <row r="63" spans="1:6" s="62" customFormat="1" ht="12.75" customHeight="1" x14ac:dyDescent="0.2">
      <c r="A63" s="130" t="s">
        <v>161</v>
      </c>
      <c r="B63" s="130"/>
      <c r="C63" s="130"/>
      <c r="D63" s="130"/>
      <c r="E63" s="61"/>
      <c r="F63" s="61"/>
    </row>
    <row r="65" spans="1:4" ht="12.75" customHeight="1" x14ac:dyDescent="0.25">
      <c r="A65" s="128" t="s">
        <v>77</v>
      </c>
      <c r="B65" s="128"/>
      <c r="C65" s="128"/>
      <c r="D65" s="128"/>
    </row>
    <row r="66" spans="1:4" x14ac:dyDescent="0.25">
      <c r="A66" s="8">
        <v>2</v>
      </c>
      <c r="B66" s="126" t="s">
        <v>78</v>
      </c>
      <c r="C66" s="126"/>
      <c r="D66" s="8" t="s">
        <v>44</v>
      </c>
    </row>
    <row r="67" spans="1:4" x14ac:dyDescent="0.25">
      <c r="A67" s="11" t="s">
        <v>50</v>
      </c>
      <c r="B67" s="123" t="s">
        <v>79</v>
      </c>
      <c r="C67" s="123"/>
      <c r="D67" s="41">
        <f>D39</f>
        <v>385.72994666666659</v>
      </c>
    </row>
    <row r="68" spans="1:4" x14ac:dyDescent="0.25">
      <c r="A68" s="11" t="s">
        <v>60</v>
      </c>
      <c r="B68" s="123" t="s">
        <v>61</v>
      </c>
      <c r="C68" s="123"/>
      <c r="D68" s="41">
        <f>D53</f>
        <v>988.32952</v>
      </c>
    </row>
    <row r="69" spans="1:4" x14ac:dyDescent="0.25">
      <c r="A69" s="11" t="s">
        <v>73</v>
      </c>
      <c r="B69" s="123" t="s">
        <v>74</v>
      </c>
      <c r="C69" s="123"/>
      <c r="D69" s="41">
        <f>D61</f>
        <v>643.44800000000009</v>
      </c>
    </row>
    <row r="70" spans="1:4" ht="12.75" customHeight="1" x14ac:dyDescent="0.25">
      <c r="A70" s="126" t="s">
        <v>80</v>
      </c>
      <c r="B70" s="126"/>
      <c r="C70" s="126"/>
      <c r="D70" s="40">
        <f>SUM(D67:D69)</f>
        <v>2017.5074666666667</v>
      </c>
    </row>
    <row r="72" spans="1:4" ht="12.75" customHeight="1" x14ac:dyDescent="0.25">
      <c r="A72" s="129" t="s">
        <v>81</v>
      </c>
      <c r="B72" s="129"/>
      <c r="C72" s="129"/>
      <c r="D72" s="129"/>
    </row>
    <row r="73" spans="1:4" x14ac:dyDescent="0.25">
      <c r="A73" s="8">
        <v>3</v>
      </c>
      <c r="B73" s="126" t="s">
        <v>82</v>
      </c>
      <c r="C73" s="126"/>
      <c r="D73" s="8" t="s">
        <v>44</v>
      </c>
    </row>
    <row r="74" spans="1:4" x14ac:dyDescent="0.25">
      <c r="A74" s="11" t="s">
        <v>21</v>
      </c>
      <c r="B74" s="123" t="s">
        <v>115</v>
      </c>
      <c r="C74" s="123"/>
      <c r="D74" s="41">
        <f>((D29/12)+(D35/12)+(D29/12/12)+(D36/12))*(30/30)*0.05</f>
        <v>12.358717592592591</v>
      </c>
    </row>
    <row r="75" spans="1:4" x14ac:dyDescent="0.25">
      <c r="A75" s="11" t="s">
        <v>23</v>
      </c>
      <c r="B75" s="123" t="s">
        <v>116</v>
      </c>
      <c r="C75" s="123"/>
      <c r="D75" s="41">
        <f>D74*C52</f>
        <v>0.9886974074074073</v>
      </c>
    </row>
    <row r="76" spans="1:4" ht="25.5" x14ac:dyDescent="0.25">
      <c r="A76" s="11" t="s">
        <v>25</v>
      </c>
      <c r="B76" s="12" t="s">
        <v>117</v>
      </c>
      <c r="C76" s="38" t="s">
        <v>52</v>
      </c>
      <c r="D76" s="41">
        <f>((D29+D35+D29+D36)*0.08*0.4*0.05)</f>
        <v>8.3878328888888891</v>
      </c>
    </row>
    <row r="77" spans="1:4" x14ac:dyDescent="0.25">
      <c r="A77" s="11" t="s">
        <v>27</v>
      </c>
      <c r="B77" s="123" t="s">
        <v>118</v>
      </c>
      <c r="C77" s="123"/>
      <c r="D77" s="41">
        <f>D29/12/30*7</f>
        <v>48.285222222222217</v>
      </c>
    </row>
    <row r="78" spans="1:4" ht="12.75" customHeight="1" x14ac:dyDescent="0.25">
      <c r="A78" s="11" t="s">
        <v>29</v>
      </c>
      <c r="B78" s="123" t="s">
        <v>119</v>
      </c>
      <c r="C78" s="123"/>
      <c r="D78" s="41">
        <f>D77*C53</f>
        <v>19.217518444444448</v>
      </c>
    </row>
    <row r="79" spans="1:4" ht="25.5" x14ac:dyDescent="0.25">
      <c r="A79" s="11" t="s">
        <v>31</v>
      </c>
      <c r="B79" s="12" t="s">
        <v>120</v>
      </c>
      <c r="C79" s="38" t="s">
        <v>52</v>
      </c>
      <c r="D79" s="41">
        <f>((D29+D35+D29+D36)*0.08*0.4*1)</f>
        <v>167.75665777777778</v>
      </c>
    </row>
    <row r="80" spans="1:4" ht="12.75" customHeight="1" x14ac:dyDescent="0.25">
      <c r="A80" s="126" t="s">
        <v>83</v>
      </c>
      <c r="B80" s="126"/>
      <c r="C80" s="126"/>
      <c r="D80" s="40">
        <f>SUM(D74:D79)</f>
        <v>256.99464633333332</v>
      </c>
    </row>
    <row r="82" spans="1:6" ht="12.75" customHeight="1" x14ac:dyDescent="0.25">
      <c r="A82" s="131" t="s">
        <v>84</v>
      </c>
      <c r="B82" s="131"/>
      <c r="C82" s="131"/>
      <c r="D82" s="131"/>
    </row>
    <row r="83" spans="1:6" s="62" customFormat="1" ht="25.5" customHeight="1" x14ac:dyDescent="0.25">
      <c r="A83" s="127" t="s">
        <v>186</v>
      </c>
      <c r="B83" s="127"/>
      <c r="C83" s="127"/>
      <c r="D83" s="127"/>
      <c r="E83" s="61"/>
      <c r="F83" s="61"/>
    </row>
    <row r="84" spans="1:6" ht="25.5" customHeight="1" x14ac:dyDescent="0.25">
      <c r="A84" s="132" t="s">
        <v>85</v>
      </c>
      <c r="B84" s="132"/>
      <c r="C84" s="132"/>
      <c r="D84" s="45">
        <f>D29+D35+D29/12+D36</f>
        <v>2966.0922222222216</v>
      </c>
    </row>
    <row r="86" spans="1:6" ht="12.75" customHeight="1" x14ac:dyDescent="0.25">
      <c r="A86" s="128" t="s">
        <v>86</v>
      </c>
      <c r="B86" s="128"/>
      <c r="C86" s="128"/>
      <c r="D86" s="128"/>
    </row>
    <row r="87" spans="1:6" x14ac:dyDescent="0.25">
      <c r="A87" s="8" t="s">
        <v>87</v>
      </c>
      <c r="B87" s="126" t="s">
        <v>88</v>
      </c>
      <c r="C87" s="126"/>
      <c r="D87" s="8" t="s">
        <v>44</v>
      </c>
    </row>
    <row r="88" spans="1:6" x14ac:dyDescent="0.25">
      <c r="A88" s="11" t="s">
        <v>21</v>
      </c>
      <c r="B88" s="133" t="s">
        <v>101</v>
      </c>
      <c r="C88" s="133"/>
      <c r="D88" s="41">
        <f>$D$84/12</f>
        <v>247.17435185185181</v>
      </c>
    </row>
    <row r="89" spans="1:6" x14ac:dyDescent="0.25">
      <c r="A89" s="11" t="s">
        <v>23</v>
      </c>
      <c r="B89" s="133" t="s">
        <v>102</v>
      </c>
      <c r="C89" s="133"/>
      <c r="D89" s="41">
        <f>$D$84/30/12*1</f>
        <v>8.2391450617283937</v>
      </c>
    </row>
    <row r="90" spans="1:6" x14ac:dyDescent="0.25">
      <c r="A90" s="11" t="s">
        <v>25</v>
      </c>
      <c r="B90" s="133" t="s">
        <v>103</v>
      </c>
      <c r="C90" s="133"/>
      <c r="D90" s="41">
        <f>$D$84/30/12*5*0.015</f>
        <v>0.61793587962962948</v>
      </c>
    </row>
    <row r="91" spans="1:6" x14ac:dyDescent="0.25">
      <c r="A91" s="11" t="s">
        <v>27</v>
      </c>
      <c r="B91" s="133" t="s">
        <v>104</v>
      </c>
      <c r="C91" s="133"/>
      <c r="D91" s="41">
        <f>$D$84/30/12*30*0.08</f>
        <v>19.773948148148147</v>
      </c>
    </row>
    <row r="92" spans="1:6" x14ac:dyDescent="0.25">
      <c r="A92" s="11" t="s">
        <v>29</v>
      </c>
      <c r="B92" s="133" t="s">
        <v>105</v>
      </c>
      <c r="C92" s="133"/>
      <c r="D92" s="41">
        <f>$D$84/30/12*5*0.4</f>
        <v>16.478290123456787</v>
      </c>
    </row>
    <row r="93" spans="1:6" x14ac:dyDescent="0.25">
      <c r="A93" s="11" t="s">
        <v>31</v>
      </c>
      <c r="B93" s="133" t="s">
        <v>106</v>
      </c>
      <c r="C93" s="133"/>
      <c r="D93" s="41">
        <f>SUM(D88:D92)*$C$53</f>
        <v>116.32890108379628</v>
      </c>
    </row>
    <row r="94" spans="1:6" ht="25.5" x14ac:dyDescent="0.25">
      <c r="A94" s="11" t="s">
        <v>33</v>
      </c>
      <c r="B94" s="12" t="s">
        <v>107</v>
      </c>
      <c r="C94" s="38" t="s">
        <v>52</v>
      </c>
      <c r="D94" s="41">
        <f>(((D29+(D29/3))*(4/12))/12)*0.02</f>
        <v>1.8394370370370368</v>
      </c>
    </row>
    <row r="95" spans="1:6" ht="25.5" x14ac:dyDescent="0.25">
      <c r="A95" s="11" t="s">
        <v>46</v>
      </c>
      <c r="B95" s="12" t="s">
        <v>108</v>
      </c>
      <c r="C95" s="38" t="s">
        <v>52</v>
      </c>
      <c r="D95" s="41">
        <f>D94*$C$53</f>
        <v>0.7320959407407408</v>
      </c>
    </row>
    <row r="96" spans="1:6" ht="25.5" x14ac:dyDescent="0.25">
      <c r="A96" s="11" t="s">
        <v>89</v>
      </c>
      <c r="B96" s="12" t="s">
        <v>109</v>
      </c>
      <c r="C96" s="38" t="s">
        <v>52</v>
      </c>
      <c r="D96" s="41">
        <f>((($D$29+($D$29/12))*(4/12))*0.02)*$C$53</f>
        <v>7.1379354222222222</v>
      </c>
    </row>
    <row r="97" spans="1:4" ht="12.75" customHeight="1" x14ac:dyDescent="0.25">
      <c r="A97" s="126" t="s">
        <v>90</v>
      </c>
      <c r="B97" s="126"/>
      <c r="C97" s="126"/>
      <c r="D97" s="40">
        <f>SUM(D88:D96)</f>
        <v>418.32204054861097</v>
      </c>
    </row>
    <row r="99" spans="1:4" ht="12.75" customHeight="1" x14ac:dyDescent="0.2">
      <c r="A99" s="134" t="s">
        <v>91</v>
      </c>
      <c r="B99" s="134"/>
      <c r="C99" s="134"/>
      <c r="D99" s="134"/>
    </row>
    <row r="100" spans="1:4" x14ac:dyDescent="0.2">
      <c r="A100" s="7" t="s">
        <v>92</v>
      </c>
      <c r="B100" s="122" t="s">
        <v>10</v>
      </c>
      <c r="C100" s="122"/>
      <c r="D100" s="8" t="s">
        <v>44</v>
      </c>
    </row>
    <row r="101" spans="1:4" x14ac:dyDescent="0.2">
      <c r="A101" s="9" t="s">
        <v>21</v>
      </c>
      <c r="B101" s="135" t="s">
        <v>93</v>
      </c>
      <c r="C101" s="135"/>
      <c r="D101" s="41">
        <f>VLOOKUP($D$14,TabelaServiço[],15,FALSE)</f>
        <v>0</v>
      </c>
    </row>
    <row r="102" spans="1:4" ht="12.75" customHeight="1" x14ac:dyDescent="0.2">
      <c r="A102" s="122" t="s">
        <v>94</v>
      </c>
      <c r="B102" s="122"/>
      <c r="C102" s="122"/>
      <c r="D102" s="40">
        <f>SUM(D101)</f>
        <v>0</v>
      </c>
    </row>
    <row r="104" spans="1:4" ht="12.75" customHeight="1" x14ac:dyDescent="0.2">
      <c r="A104" s="134" t="s">
        <v>96</v>
      </c>
      <c r="B104" s="134"/>
      <c r="C104" s="134"/>
      <c r="D104" s="134"/>
    </row>
    <row r="105" spans="1:4" x14ac:dyDescent="0.2">
      <c r="A105" s="7">
        <v>4</v>
      </c>
      <c r="B105" s="122" t="s">
        <v>78</v>
      </c>
      <c r="C105" s="122"/>
      <c r="D105" s="40" t="s">
        <v>44</v>
      </c>
    </row>
    <row r="106" spans="1:4" x14ac:dyDescent="0.2">
      <c r="A106" s="9" t="s">
        <v>87</v>
      </c>
      <c r="B106" s="135" t="s">
        <v>97</v>
      </c>
      <c r="C106" s="135"/>
      <c r="D106" s="41">
        <f>D97</f>
        <v>418.32204054861097</v>
      </c>
    </row>
    <row r="107" spans="1:4" x14ac:dyDescent="0.2">
      <c r="A107" s="9" t="s">
        <v>92</v>
      </c>
      <c r="B107" s="135" t="s">
        <v>10</v>
      </c>
      <c r="C107" s="135"/>
      <c r="D107" s="41">
        <f>D102</f>
        <v>0</v>
      </c>
    </row>
    <row r="108" spans="1:4" ht="12.75" customHeight="1" x14ac:dyDescent="0.2">
      <c r="A108" s="122" t="s">
        <v>80</v>
      </c>
      <c r="B108" s="122"/>
      <c r="C108" s="122"/>
      <c r="D108" s="40">
        <f>SUM(D106:D107)</f>
        <v>418.32204054861097</v>
      </c>
    </row>
    <row r="109" spans="1:4" x14ac:dyDescent="0.25">
      <c r="A109" s="64" t="s">
        <v>110</v>
      </c>
    </row>
    <row r="110" spans="1:4" ht="12.75" customHeight="1" x14ac:dyDescent="0.25">
      <c r="A110" s="129" t="s">
        <v>98</v>
      </c>
      <c r="B110" s="129"/>
      <c r="C110" s="129"/>
      <c r="D110" s="129"/>
    </row>
    <row r="111" spans="1:4" x14ac:dyDescent="0.25">
      <c r="A111" s="8">
        <v>5</v>
      </c>
      <c r="B111" s="126" t="s">
        <v>99</v>
      </c>
      <c r="C111" s="126"/>
      <c r="D111" s="8" t="s">
        <v>44</v>
      </c>
    </row>
    <row r="112" spans="1:4" x14ac:dyDescent="0.25">
      <c r="A112" s="11" t="s">
        <v>21</v>
      </c>
      <c r="B112" s="123" t="s">
        <v>159</v>
      </c>
      <c r="C112" s="123"/>
      <c r="D112" s="66">
        <f>143.3/6</f>
        <v>23.883333333333336</v>
      </c>
    </row>
    <row r="113" spans="1:6" x14ac:dyDescent="0.25">
      <c r="A113" s="11" t="s">
        <v>23</v>
      </c>
      <c r="B113" s="123" t="s">
        <v>196</v>
      </c>
      <c r="C113" s="123"/>
      <c r="D113" s="66">
        <f>VLOOKUP($D$14,TabelaServiço[],17,FALSE)</f>
        <v>0</v>
      </c>
    </row>
    <row r="114" spans="1:6" x14ac:dyDescent="0.25">
      <c r="A114" s="11" t="s">
        <v>25</v>
      </c>
      <c r="B114" s="123" t="s">
        <v>197</v>
      </c>
      <c r="C114" s="123"/>
      <c r="D114" s="66">
        <f>VLOOKUP($D$14,TabelaServiço[],18,FALSE)</f>
        <v>0</v>
      </c>
    </row>
    <row r="115" spans="1:6" ht="12.75" customHeight="1" x14ac:dyDescent="0.25">
      <c r="A115" s="126" t="s">
        <v>100</v>
      </c>
      <c r="B115" s="126"/>
      <c r="C115" s="126"/>
      <c r="D115" s="40">
        <f>SUM(D112:D114)</f>
        <v>23.883333333333336</v>
      </c>
    </row>
    <row r="116" spans="1:6" s="62" customFormat="1" ht="12.75" customHeight="1" x14ac:dyDescent="0.25">
      <c r="A116" s="127" t="s">
        <v>162</v>
      </c>
      <c r="B116" s="127"/>
      <c r="C116" s="127"/>
      <c r="D116" s="127"/>
      <c r="E116" s="54"/>
      <c r="F116" s="61"/>
    </row>
    <row r="118" spans="1:6" x14ac:dyDescent="0.25">
      <c r="A118" s="129" t="s">
        <v>123</v>
      </c>
      <c r="B118" s="129"/>
      <c r="C118" s="129"/>
      <c r="D118" s="129"/>
    </row>
    <row r="119" spans="1:6" x14ac:dyDescent="0.25">
      <c r="A119" s="8">
        <v>6</v>
      </c>
      <c r="B119" s="13" t="s">
        <v>124</v>
      </c>
      <c r="C119" s="8" t="s">
        <v>125</v>
      </c>
      <c r="D119" s="8" t="s">
        <v>44</v>
      </c>
    </row>
    <row r="120" spans="1:6" ht="15" x14ac:dyDescent="0.25">
      <c r="A120" s="11" t="s">
        <v>21</v>
      </c>
      <c r="B120" s="14" t="s">
        <v>126</v>
      </c>
      <c r="C120" s="84">
        <v>0.03</v>
      </c>
      <c r="D120" s="47">
        <f>C120*D143</f>
        <v>155.99842460645831</v>
      </c>
      <c r="E120" s="65" t="s">
        <v>169</v>
      </c>
    </row>
    <row r="121" spans="1:6" ht="25.5" customHeight="1" x14ac:dyDescent="0.25">
      <c r="A121" s="137" t="s">
        <v>127</v>
      </c>
      <c r="B121" s="137"/>
      <c r="C121" s="137"/>
      <c r="D121" s="137"/>
    </row>
    <row r="122" spans="1:6" ht="15" x14ac:dyDescent="0.25">
      <c r="A122" s="11" t="s">
        <v>23</v>
      </c>
      <c r="B122" s="14" t="s">
        <v>128</v>
      </c>
      <c r="C122" s="84">
        <v>6.7900000000000002E-2</v>
      </c>
      <c r="D122" s="47">
        <f>C122*(D120+D143)</f>
        <v>363.6687273900626</v>
      </c>
      <c r="E122" s="65" t="s">
        <v>169</v>
      </c>
    </row>
    <row r="123" spans="1:6" ht="25.5" customHeight="1" x14ac:dyDescent="0.25">
      <c r="A123" s="137" t="s">
        <v>129</v>
      </c>
      <c r="B123" s="137"/>
      <c r="C123" s="137"/>
      <c r="D123" s="137"/>
    </row>
    <row r="124" spans="1:6" x14ac:dyDescent="0.25">
      <c r="A124" s="11" t="s">
        <v>25</v>
      </c>
      <c r="B124" s="14" t="s">
        <v>130</v>
      </c>
      <c r="C124" s="14"/>
      <c r="D124" s="14"/>
    </row>
    <row r="125" spans="1:6" ht="25.5" customHeight="1" x14ac:dyDescent="0.25">
      <c r="A125" s="137" t="s">
        <v>131</v>
      </c>
      <c r="B125" s="137"/>
      <c r="C125" s="137"/>
      <c r="D125" s="137"/>
    </row>
    <row r="126" spans="1:6" x14ac:dyDescent="0.25">
      <c r="A126" s="123"/>
      <c r="B126" s="116" t="s">
        <v>132</v>
      </c>
      <c r="C126" s="138"/>
      <c r="D126" s="117"/>
    </row>
    <row r="127" spans="1:6" x14ac:dyDescent="0.25">
      <c r="A127" s="123"/>
      <c r="B127" s="14" t="s">
        <v>133</v>
      </c>
      <c r="C127" s="15">
        <v>6.4999999999999997E-3</v>
      </c>
      <c r="D127" s="48">
        <f>(D120+D122+D143)/(1-(C127+C128+C131))*C127</f>
        <v>39.825918749555463</v>
      </c>
    </row>
    <row r="128" spans="1:6" x14ac:dyDescent="0.25">
      <c r="A128" s="123"/>
      <c r="B128" s="14" t="s">
        <v>134</v>
      </c>
      <c r="C128" s="15">
        <v>0.03</v>
      </c>
      <c r="D128" s="48">
        <f>(D120+D122+D143)/(1-(C127+C128+C131))*C128</f>
        <v>183.81193269025599</v>
      </c>
    </row>
    <row r="129" spans="1:6" x14ac:dyDescent="0.25">
      <c r="A129" s="123"/>
      <c r="B129" s="116" t="s">
        <v>135</v>
      </c>
      <c r="C129" s="138"/>
      <c r="D129" s="117"/>
    </row>
    <row r="130" spans="1:6" x14ac:dyDescent="0.25">
      <c r="A130" s="123"/>
      <c r="B130" s="116" t="s">
        <v>136</v>
      </c>
      <c r="C130" s="138"/>
      <c r="D130" s="117"/>
    </row>
    <row r="131" spans="1:6" x14ac:dyDescent="0.25">
      <c r="A131" s="123"/>
      <c r="B131" s="14" t="s">
        <v>137</v>
      </c>
      <c r="C131" s="15">
        <f>VLOOKUP(D8,TabelaLocal[],3,FALSE)/100</f>
        <v>0.03</v>
      </c>
      <c r="D131" s="49">
        <f>(D120+D122+D143)/(1-(C127+C128+C131))*C131</f>
        <v>183.81193269025599</v>
      </c>
    </row>
    <row r="132" spans="1:6" x14ac:dyDescent="0.25">
      <c r="A132" s="136" t="s">
        <v>138</v>
      </c>
      <c r="B132" s="136"/>
      <c r="C132" s="136"/>
      <c r="D132" s="46">
        <f>SUM(D120:D131)</f>
        <v>927.11693612658837</v>
      </c>
    </row>
    <row r="133" spans="1:6" s="62" customFormat="1" x14ac:dyDescent="0.25">
      <c r="A133" s="127" t="s">
        <v>163</v>
      </c>
      <c r="B133" s="127"/>
      <c r="C133" s="127"/>
      <c r="D133" s="127"/>
      <c r="E133" s="61"/>
      <c r="F133" s="61"/>
    </row>
    <row r="134" spans="1:6" s="62" customFormat="1" x14ac:dyDescent="0.25">
      <c r="A134" s="127" t="s">
        <v>164</v>
      </c>
      <c r="B134" s="127"/>
      <c r="C134" s="127"/>
      <c r="D134" s="127"/>
      <c r="E134" s="61"/>
      <c r="F134" s="61"/>
    </row>
    <row r="136" spans="1:6" x14ac:dyDescent="0.25">
      <c r="A136" s="128" t="s">
        <v>147</v>
      </c>
      <c r="B136" s="128"/>
      <c r="C136" s="128"/>
      <c r="D136" s="128"/>
    </row>
    <row r="137" spans="1:6" x14ac:dyDescent="0.25">
      <c r="A137" s="16"/>
      <c r="B137" s="126" t="s">
        <v>148</v>
      </c>
      <c r="C137" s="126"/>
      <c r="D137" s="39" t="s">
        <v>149</v>
      </c>
    </row>
    <row r="138" spans="1:6" x14ac:dyDescent="0.25">
      <c r="A138" s="11" t="s">
        <v>21</v>
      </c>
      <c r="B138" s="123" t="s">
        <v>150</v>
      </c>
      <c r="C138" s="123"/>
      <c r="D138" s="41">
        <f>D29</f>
        <v>2483.2399999999998</v>
      </c>
    </row>
    <row r="139" spans="1:6" x14ac:dyDescent="0.25">
      <c r="A139" s="11" t="s">
        <v>23</v>
      </c>
      <c r="B139" s="123" t="s">
        <v>151</v>
      </c>
      <c r="C139" s="123"/>
      <c r="D139" s="41">
        <f>D70</f>
        <v>2017.5074666666667</v>
      </c>
    </row>
    <row r="140" spans="1:6" x14ac:dyDescent="0.25">
      <c r="A140" s="11" t="s">
        <v>25</v>
      </c>
      <c r="B140" s="123" t="s">
        <v>152</v>
      </c>
      <c r="C140" s="123"/>
      <c r="D140" s="41">
        <f>D80</f>
        <v>256.99464633333332</v>
      </c>
    </row>
    <row r="141" spans="1:6" x14ac:dyDescent="0.25">
      <c r="A141" s="11" t="s">
        <v>27</v>
      </c>
      <c r="B141" s="123" t="s">
        <v>153</v>
      </c>
      <c r="C141" s="123"/>
      <c r="D141" s="41">
        <f>D108</f>
        <v>418.32204054861097</v>
      </c>
    </row>
    <row r="142" spans="1:6" x14ac:dyDescent="0.25">
      <c r="A142" s="11" t="s">
        <v>29</v>
      </c>
      <c r="B142" s="123" t="s">
        <v>154</v>
      </c>
      <c r="C142" s="123"/>
      <c r="D142" s="41">
        <f>D115</f>
        <v>23.883333333333336</v>
      </c>
    </row>
    <row r="143" spans="1:6" x14ac:dyDescent="0.25">
      <c r="A143" s="125" t="s">
        <v>155</v>
      </c>
      <c r="B143" s="125"/>
      <c r="C143" s="125"/>
      <c r="D143" s="42">
        <f>SUM(D138:D142)</f>
        <v>5199.9474868819443</v>
      </c>
    </row>
    <row r="144" spans="1:6" x14ac:dyDescent="0.25">
      <c r="A144" s="11" t="s">
        <v>31</v>
      </c>
      <c r="B144" s="123" t="s">
        <v>156</v>
      </c>
      <c r="C144" s="123"/>
      <c r="D144" s="41">
        <f>D132</f>
        <v>927.11693612658837</v>
      </c>
    </row>
    <row r="145" spans="1:4" x14ac:dyDescent="0.25">
      <c r="A145" s="139" t="s">
        <v>157</v>
      </c>
      <c r="B145" s="139"/>
      <c r="C145" s="139"/>
      <c r="D145" s="43">
        <f>ROUND(SUM(D143:D144),2)</f>
        <v>6127.06</v>
      </c>
    </row>
    <row r="146" spans="1:4" ht="18.75" customHeight="1" x14ac:dyDescent="0.25">
      <c r="A146" s="140" t="s">
        <v>158</v>
      </c>
      <c r="B146" s="141"/>
      <c r="C146" s="142"/>
      <c r="D146" s="44">
        <f>IF(VLOOKUP($D$14,TabelaServiço[],4,FALSE)="12x36",$D$145*2,$D$145)</f>
        <v>6127.06</v>
      </c>
    </row>
    <row r="147" spans="1:4" ht="15" x14ac:dyDescent="0.25">
      <c r="A147" s="143" t="str">
        <f>"VALOR TOTAL PARA "&amp;(D19)&amp;" POSTOS"</f>
        <v>VALOR TOTAL PARA 2 POSTOS</v>
      </c>
      <c r="B147" s="143"/>
      <c r="C147" s="143"/>
      <c r="D147" s="44">
        <f>D146*D19</f>
        <v>12254.12</v>
      </c>
    </row>
  </sheetData>
  <dataConsolidate/>
  <mergeCells count="108">
    <mergeCell ref="A145:C145"/>
    <mergeCell ref="A146:C146"/>
    <mergeCell ref="A147:C147"/>
    <mergeCell ref="B139:C139"/>
    <mergeCell ref="B140:C140"/>
    <mergeCell ref="B141:C141"/>
    <mergeCell ref="B142:C142"/>
    <mergeCell ref="A143:C143"/>
    <mergeCell ref="B144:C144"/>
    <mergeCell ref="A132:C132"/>
    <mergeCell ref="A133:D133"/>
    <mergeCell ref="A134:D134"/>
    <mergeCell ref="A136:D136"/>
    <mergeCell ref="B137:C137"/>
    <mergeCell ref="B138:C138"/>
    <mergeCell ref="A116:D116"/>
    <mergeCell ref="A118:D118"/>
    <mergeCell ref="A121:D121"/>
    <mergeCell ref="A123:D123"/>
    <mergeCell ref="A125:D125"/>
    <mergeCell ref="A126:A131"/>
    <mergeCell ref="B126:D126"/>
    <mergeCell ref="B129:D129"/>
    <mergeCell ref="B130:D130"/>
    <mergeCell ref="A110:D110"/>
    <mergeCell ref="B111:C111"/>
    <mergeCell ref="B112:C112"/>
    <mergeCell ref="B113:C113"/>
    <mergeCell ref="B114:C114"/>
    <mergeCell ref="A115:C115"/>
    <mergeCell ref="A102:C102"/>
    <mergeCell ref="A104:D104"/>
    <mergeCell ref="B105:C105"/>
    <mergeCell ref="B106:C106"/>
    <mergeCell ref="B107:C107"/>
    <mergeCell ref="A108:C108"/>
    <mergeCell ref="B92:C92"/>
    <mergeCell ref="B93:C93"/>
    <mergeCell ref="A97:C97"/>
    <mergeCell ref="A99:D99"/>
    <mergeCell ref="B100:C100"/>
    <mergeCell ref="B101:C101"/>
    <mergeCell ref="A86:D86"/>
    <mergeCell ref="B87:C87"/>
    <mergeCell ref="B88:C88"/>
    <mergeCell ref="B89:C89"/>
    <mergeCell ref="B90:C90"/>
    <mergeCell ref="B91:C91"/>
    <mergeCell ref="B77:C77"/>
    <mergeCell ref="B78:C78"/>
    <mergeCell ref="A80:C80"/>
    <mergeCell ref="A82:D82"/>
    <mergeCell ref="A83:D83"/>
    <mergeCell ref="A84:C84"/>
    <mergeCell ref="B69:C69"/>
    <mergeCell ref="A70:C70"/>
    <mergeCell ref="A72:D72"/>
    <mergeCell ref="B73:C73"/>
    <mergeCell ref="B74:C74"/>
    <mergeCell ref="B75:C75"/>
    <mergeCell ref="A62:D62"/>
    <mergeCell ref="A63:D63"/>
    <mergeCell ref="A65:D65"/>
    <mergeCell ref="B66:C66"/>
    <mergeCell ref="B67:C67"/>
    <mergeCell ref="B68:C68"/>
    <mergeCell ref="B56:C56"/>
    <mergeCell ref="B57:C57"/>
    <mergeCell ref="B58:C58"/>
    <mergeCell ref="B59:C59"/>
    <mergeCell ref="B60:C60"/>
    <mergeCell ref="A61:C61"/>
    <mergeCell ref="A37:C37"/>
    <mergeCell ref="A39:C39"/>
    <mergeCell ref="A40:D40"/>
    <mergeCell ref="A41:D41"/>
    <mergeCell ref="A43:D43"/>
    <mergeCell ref="A55:D55"/>
    <mergeCell ref="B28:C28"/>
    <mergeCell ref="B29:C29"/>
    <mergeCell ref="A30:D30"/>
    <mergeCell ref="A32:D32"/>
    <mergeCell ref="A33:D33"/>
    <mergeCell ref="B34:C34"/>
    <mergeCell ref="B22:C22"/>
    <mergeCell ref="B23:C23"/>
    <mergeCell ref="B24:C24"/>
    <mergeCell ref="B25:C25"/>
    <mergeCell ref="B26:C26"/>
    <mergeCell ref="B27:C27"/>
    <mergeCell ref="B15:C15"/>
    <mergeCell ref="B16:C16"/>
    <mergeCell ref="B17:C17"/>
    <mergeCell ref="B18:C18"/>
    <mergeCell ref="B19:C19"/>
    <mergeCell ref="A21:D21"/>
    <mergeCell ref="B8:C8"/>
    <mergeCell ref="B9:C9"/>
    <mergeCell ref="B10:C10"/>
    <mergeCell ref="B11:C11"/>
    <mergeCell ref="A13:D13"/>
    <mergeCell ref="B14:C14"/>
    <mergeCell ref="A1:D1"/>
    <mergeCell ref="A3:D3"/>
    <mergeCell ref="A4:D4"/>
    <mergeCell ref="B5:C5"/>
    <mergeCell ref="B6:C6"/>
    <mergeCell ref="B7:C7"/>
  </mergeCells>
  <dataValidations count="6">
    <dataValidation type="list" errorStyle="warning" allowBlank="1" showInputMessage="1" showErrorMessage="1" errorTitle="Tipo de lucro não identificado" error="Escolher na lista pré-definida" promptTitle="Licitante Preencher" prompt=" " sqref="D6" xr:uid="{20E51448-0779-48E9-9FF7-EFDD93AD7C6E}">
      <formula1>"Lucro presumido, Lucro real"</formula1>
    </dataValidation>
    <dataValidation allowBlank="1" showInputMessage="1" showErrorMessage="1" promptTitle="Licitante Preencher" prompt=" " sqref="D7" xr:uid="{CAF421C3-D80E-4417-B26E-C0BAAE68EB88}"/>
    <dataValidation type="date" operator="greaterThan" allowBlank="1" showInputMessage="1" showErrorMessage="1" errorTitle="Data" error="Inserir data no formato dd/mm/aaaa" promptTitle="Licitante Preencher" prompt="Formato dd/mm/aaaa" sqref="D5:D7" xr:uid="{3D3621B7-DE04-43B0-AA28-783579944CC6}">
      <formula1>45292</formula1>
    </dataValidation>
    <dataValidation type="decimal" allowBlank="1" showInputMessage="1" showErrorMessage="1" error="Inserir valor entre o intervalo numérico de 0,5 a 6" promptTitle="Licitante preencher" prompt="Inserir valor entre 0,5 e 6" sqref="C47" xr:uid="{F8E0ED9B-48DB-42CF-B7E2-E82DC2DC7D5E}">
      <formula1>0.005</formula1>
      <formula2>0.06</formula2>
    </dataValidation>
    <dataValidation allowBlank="1" showInputMessage="1" showErrorMessage="1" promptTitle="Licitante preencher" prompt=" " sqref="C120 C122" xr:uid="{95CC1C63-F1B9-4C78-B548-1058AC3F8B5C}"/>
    <dataValidation type="whole" operator="greaterThanOrEqual" allowBlank="1" showInputMessage="1" showErrorMessage="1" errorTitle="Quantidade" error="Inserir quantidade no formato número inteiro. Exemplo: 1" promptTitle="IFMT Preencher" prompt="Formato número " sqref="D19" xr:uid="{70BF8344-51D4-4DAF-90DE-FA80249C7503}">
      <formula1>1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Unidade não identificada" error="Escolher na lista pré-definida" promptTitle="Lista de Localidades" prompt=" " xr:uid="{4DF96307-F0A7-42E6-840A-240C617E7E83}">
          <x14:formula1>
            <xm:f>'DADOS Local e Serviço'!$B$8:$B$33</xm:f>
          </x14:formula1>
          <xm:sqref>D8</xm:sqref>
        </x14:dataValidation>
        <x14:dataValidation type="list" allowBlank="1" showInputMessage="1" showErrorMessage="1" errorTitle="Serviço não identificado" error="Escolher na lista pré-definida" promptTitle="Lista de Serviços" prompt=" " xr:uid="{56D20AAE-B091-45AE-BEF0-204DB7012ACF}">
          <x14:formula1>
            <xm:f>'DADOS Local e Serviço'!$B$40:$B$40</xm:f>
          </x14:formula1>
          <xm:sqref>D14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DADOS Local e Serviço</vt:lpstr>
      <vt:lpstr>Quadro RESUMO</vt:lpstr>
      <vt:lpstr>DMT-Auxiliar Operacional</vt:lpstr>
    </vt:vector>
  </TitlesOfParts>
  <Company>IFMT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Honorato Snowareski</dc:creator>
  <cp:lastModifiedBy>Celio Monzano</cp:lastModifiedBy>
  <dcterms:created xsi:type="dcterms:W3CDTF">2024-05-13T14:23:31Z</dcterms:created>
  <dcterms:modified xsi:type="dcterms:W3CDTF">2025-02-25T00:46:09Z</dcterms:modified>
</cp:coreProperties>
</file>